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usuario\Desktop\PAAC 2021\"/>
    </mc:Choice>
  </mc:AlternateContent>
  <xr:revisionPtr revIDLastSave="0" documentId="13_ncr:1_{748A5ABE-4F97-48CD-BE9A-2AB22B690065}" xr6:coauthVersionLast="36" xr6:coauthVersionMax="36" xr10:uidLastSave="{00000000-0000-0000-0000-000000000000}"/>
  <bookViews>
    <workbookView xWindow="0" yWindow="0" windowWidth="20490" windowHeight="7155"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s" sheetId="13" r:id="rId6"/>
    <sheet name="Listas" sheetId="8" r:id="rId7"/>
  </sheets>
  <definedNames>
    <definedName name="_xlnm._FilterDatabase" localSheetId="3" hidden="1">'Calificacion Controles'!$A$3:$AE$23</definedName>
    <definedName name="_xlnm._FilterDatabase" localSheetId="1" hidden="1">Cuestiones!$A$2:$H$101</definedName>
    <definedName name="_xlnm._FilterDatabase" localSheetId="2" hidden="1">Riesgos!$A$6:$O$103</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79021"/>
</workbook>
</file>

<file path=xl/calcChain.xml><?xml version="1.0" encoding="utf-8"?>
<calcChain xmlns="http://schemas.openxmlformats.org/spreadsheetml/2006/main">
  <c r="F15" i="4" l="1"/>
  <c r="E14" i="4"/>
  <c r="C5" i="10" l="1"/>
  <c r="A8" i="10"/>
  <c r="C11" i="10" l="1"/>
  <c r="C12" i="10"/>
  <c r="C13" i="10"/>
  <c r="C14" i="10"/>
  <c r="B14" i="10"/>
  <c r="A14" i="10"/>
  <c r="A12" i="10"/>
  <c r="A13" i="10"/>
  <c r="F13" i="10"/>
  <c r="H13" i="10"/>
  <c r="J13" i="10"/>
  <c r="L13" i="10"/>
  <c r="N13" i="10"/>
  <c r="P13" i="10"/>
  <c r="R13" i="10"/>
  <c r="T13" i="10"/>
  <c r="V13" i="10"/>
  <c r="X13" i="10"/>
  <c r="Z13" i="10"/>
  <c r="AB13" i="10"/>
  <c r="F14" i="10"/>
  <c r="H14" i="10"/>
  <c r="J14" i="10"/>
  <c r="L14" i="10"/>
  <c r="N14" i="10"/>
  <c r="P14" i="10"/>
  <c r="R14" i="10"/>
  <c r="T14" i="10"/>
  <c r="V14" i="10"/>
  <c r="X14" i="10"/>
  <c r="Z14" i="10"/>
  <c r="AB14" i="10"/>
  <c r="H15" i="4"/>
  <c r="H16" i="4"/>
  <c r="F16" i="4"/>
  <c r="F11" i="4"/>
  <c r="AC14" i="10" l="1"/>
  <c r="AD14" i="10" s="1"/>
  <c r="AE14" i="10" s="1"/>
  <c r="AC13" i="10"/>
  <c r="AD13" i="10" s="1"/>
  <c r="I15" i="4"/>
  <c r="B12" i="10" s="1"/>
  <c r="I16" i="4"/>
  <c r="B13" i="10" s="1"/>
  <c r="E7" i="4"/>
  <c r="AE13" i="10" l="1"/>
  <c r="H14" i="4"/>
  <c r="H13" i="4"/>
  <c r="H12" i="4"/>
  <c r="H11" i="4"/>
  <c r="H10" i="4"/>
  <c r="H9" i="4"/>
  <c r="H8" i="4"/>
  <c r="F14" i="4"/>
  <c r="F13" i="4"/>
  <c r="F12" i="4"/>
  <c r="F10" i="4"/>
  <c r="F9" i="4"/>
  <c r="F8"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8" i="4"/>
  <c r="A9" i="4" s="1"/>
  <c r="A10" i="4" s="1"/>
  <c r="A11" i="4" s="1"/>
  <c r="A12" i="4" s="1"/>
  <c r="A13" i="4" s="1"/>
  <c r="A14" i="4" s="1"/>
  <c r="AB8" i="10"/>
  <c r="Z8" i="10"/>
  <c r="X8" i="10"/>
  <c r="V8" i="10"/>
  <c r="T8" i="10"/>
  <c r="R8" i="10"/>
  <c r="P8" i="10"/>
  <c r="N8" i="10"/>
  <c r="L8" i="10"/>
  <c r="J8" i="10"/>
  <c r="H8" i="10"/>
  <c r="F8" i="10"/>
  <c r="I13" i="4" l="1"/>
  <c r="I14" i="4"/>
  <c r="B11" i="10" s="1"/>
  <c r="I12" i="4"/>
  <c r="B9" i="10" s="1"/>
  <c r="I11" i="4"/>
  <c r="B8" i="10" s="1"/>
  <c r="I10" i="4"/>
  <c r="B7" i="10" s="1"/>
  <c r="I9" i="4"/>
  <c r="B6" i="10" s="1"/>
  <c r="I8" i="4"/>
  <c r="B5" i="10" s="1"/>
  <c r="AC8" i="10"/>
  <c r="AD8" i="10" s="1"/>
  <c r="AC9" i="10"/>
  <c r="AD9" i="10" s="1"/>
  <c r="AC11" i="10"/>
  <c r="AD11" i="10" s="1"/>
  <c r="AC12" i="10"/>
  <c r="AD12" i="10" s="1"/>
  <c r="AC10" i="10"/>
  <c r="AD10" i="10" s="1"/>
  <c r="B10" i="10"/>
  <c r="E13" i="4"/>
  <c r="E8" i="4"/>
  <c r="C4" i="10"/>
  <c r="AE9" i="10" l="1"/>
  <c r="K12" i="4" s="1"/>
  <c r="AE10" i="10"/>
  <c r="K13" i="4" s="1"/>
  <c r="AE11" i="10"/>
  <c r="K14"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10"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7" i="4"/>
  <c r="H7" i="4" l="1"/>
  <c r="H19" i="4" l="1"/>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AD16" i="10" l="1"/>
  <c r="AD15" i="10"/>
  <c r="C11" i="8"/>
  <c r="C10" i="8"/>
  <c r="V18" i="8"/>
  <c r="J6"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0" i="4"/>
  <c r="F38"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F19"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I20" i="4"/>
  <c r="AE20" i="10" s="1"/>
  <c r="I28" i="4"/>
  <c r="I26" i="4"/>
  <c r="AE12" i="10"/>
  <c r="K15" i="4" s="1"/>
  <c r="I31" i="4"/>
  <c r="I23" i="4"/>
  <c r="AE23" i="10" s="1"/>
  <c r="I30" i="4"/>
  <c r="I22" i="4"/>
  <c r="AE22" i="10" s="1"/>
  <c r="I29" i="4"/>
  <c r="I21" i="4"/>
  <c r="AE21" i="10" s="1"/>
  <c r="I27" i="4"/>
  <c r="I19" i="4"/>
  <c r="AE19" i="10" s="1"/>
  <c r="I25" i="4"/>
  <c r="I24" i="4"/>
  <c r="I39" i="4"/>
  <c r="I38" i="4"/>
  <c r="I37" i="4"/>
  <c r="I36" i="4"/>
  <c r="I35" i="4"/>
  <c r="I34" i="4"/>
  <c r="I33" i="4"/>
  <c r="I32" i="4"/>
  <c r="AE18" i="10" l="1"/>
  <c r="AE8" i="10"/>
  <c r="K11" i="4" s="1"/>
  <c r="K16" i="4"/>
  <c r="AE16" i="10"/>
  <c r="AE5" i="10"/>
  <c r="K8" i="4" s="1"/>
  <c r="AE6" i="10"/>
  <c r="K9" i="4" s="1"/>
  <c r="B15" i="10"/>
  <c r="AE15" i="10" s="1"/>
  <c r="I7" i="4"/>
  <c r="B4" i="10" s="1"/>
  <c r="AE4" i="10" l="1"/>
  <c r="K7" i="4" s="1"/>
  <c r="C24" i="8"/>
  <c r="C22" i="8"/>
  <c r="C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Zuany</author>
  </authors>
  <commentList>
    <comment ref="L8" authorId="0" shapeId="0" xr:uid="{00000000-0006-0000-0200-000001000000}">
      <text>
        <r>
          <rPr>
            <b/>
            <sz val="9"/>
            <color indexed="81"/>
            <rFont val="Tahoma"/>
            <family val="2"/>
          </rPr>
          <t>Hector Zuany:</t>
        </r>
        <r>
          <rPr>
            <sz val="9"/>
            <color indexed="81"/>
            <rFont val="Tahoma"/>
            <family val="2"/>
          </rPr>
          <t xml:space="preserve">
cuantos contratistas ingresaron. Si todos ellos le ingresaron en el sigep</t>
        </r>
      </text>
    </comment>
    <comment ref="N8" authorId="0" shapeId="0" xr:uid="{00000000-0006-0000-0200-000002000000}">
      <text>
        <r>
          <rPr>
            <b/>
            <sz val="9"/>
            <color indexed="81"/>
            <rFont val="Tahoma"/>
            <family val="2"/>
          </rPr>
          <t>Hector Zuany:</t>
        </r>
        <r>
          <rPr>
            <sz val="9"/>
            <color indexed="81"/>
            <rFont val="Tahoma"/>
            <family val="2"/>
          </rPr>
          <t xml:space="preserve">
cuantos contratistas ingresaron. Si todos ellos le ingresaron en el sigep</t>
        </r>
      </text>
    </comment>
  </commentList>
</comments>
</file>

<file path=xl/sharedStrings.xml><?xml version="1.0" encoding="utf-8"?>
<sst xmlns="http://schemas.openxmlformats.org/spreadsheetml/2006/main" count="599" uniqueCount="224">
  <si>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</si>
  <si>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</si>
  <si>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</si>
  <si>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</si>
  <si>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</si>
  <si>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</si>
  <si>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</si>
  <si>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</si>
  <si>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</si>
  <si>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</si>
  <si>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</si>
  <si>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</si>
  <si>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</si>
  <si>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</si>
  <si>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</si>
  <si>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</si>
  <si>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</si>
  <si>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</si>
  <si>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</si>
  <si>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</si>
  <si>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</si>
  <si>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</si>
  <si>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</si>
  <si>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</si>
  <si>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</si>
  <si>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</si>
  <si>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</si>
  <si>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</si>
  <si>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</si>
  <si>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</si>
  <si>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</si>
  <si>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</si>
  <si>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</si>
  <si>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</si>
  <si>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</si>
  <si>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</si>
  <si>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</si>
  <si>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</si>
  <si>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</si>
  <si>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</si>
  <si>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</si>
  <si>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</si>
  <si>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</si>
  <si>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</si>
  <si>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</si>
  <si>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</si>
  <si>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</si>
  <si>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</si>
  <si>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</si>
  <si>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</si>
  <si>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</si>
  <si>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</si>
  <si>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</si>
  <si>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</si>
  <si>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</si>
  <si>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</si>
  <si>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</si>
  <si>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</si>
  <si>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</si>
  <si>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</si>
  <si>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</si>
  <si>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</si>
  <si>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</si>
  <si>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</si>
  <si>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</si>
  <si>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</si>
  <si>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</si>
  <si>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</si>
  <si>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</si>
  <si>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</si>
  <si>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</si>
  <si>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</si>
  <si>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</si>
  <si>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</si>
  <si>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</si>
  <si>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</si>
  <si>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</si>
  <si>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</si>
  <si>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</si>
  <si>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</si>
  <si>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</si>
  <si>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</si>
  <si>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</si>
  <si>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</si>
  <si>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</si>
  <si>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</si>
  <si>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</si>
  <si>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</si>
  <si>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</si>
  <si>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</si>
  <si>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</si>
  <si>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</si>
  <si>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</si>
  <si>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</si>
  <si>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</si>
  <si>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</si>
  <si>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</si>
  <si>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</si>
  <si>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</si>
  <si>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</si>
  <si>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</si>
  <si>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</si>
  <si>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</si>
  <si>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</si>
  <si>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</si>
  <si>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</si>
  <si>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</si>
  <si>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</si>
  <si>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</si>
  <si>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</si>
  <si>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</si>
  <si>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</si>
  <si>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</si>
  <si>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</si>
  <si>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</si>
  <si>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</si>
  <si>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</si>
  <si>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</si>
  <si>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</si>
  <si>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</si>
  <si>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</si>
  <si>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</si>
  <si>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</si>
  <si>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</si>
  <si>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</si>
  <si>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</si>
  <si>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</si>
  <si>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</si>
  <si>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</si>
  <si>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</si>
  <si>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</si>
  <si>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</si>
  <si>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</si>
  <si>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</si>
  <si>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</si>
  <si>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</si>
  <si>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</si>
  <si>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</si>
  <si>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</si>
  <si>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</si>
  <si>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</si>
  <si>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</si>
  <si>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</si>
  <si>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</si>
  <si>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</si>
  <si>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</si>
  <si>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</si>
  <si>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</si>
  <si>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</si>
  <si>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</si>
  <si>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</si>
  <si>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</si>
  <si>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</si>
  <si>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</si>
  <si>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</si>
  <si>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</si>
  <si>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</si>
  <si>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</si>
  <si>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</si>
  <si>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</si>
  <si>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</si>
  <si>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</si>
  <si>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</si>
  <si>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</si>
  <si>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</si>
  <si>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</si>
  <si>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</si>
  <si>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</si>
  <si>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</si>
  <si>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</si>
  <si>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</si>
  <si>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</si>
  <si>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</si>
  <si>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</si>
  <si>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</si>
  <si>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</si>
  <si>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</si>
  <si>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</si>
  <si>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</si>
  <si>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</si>
  <si>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</si>
  <si>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</si>
  <si>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</si>
  <si>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</si>
  <si>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</si>
  <si>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</si>
  <si>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</si>
  <si>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</si>
  <si>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</si>
  <si>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</si>
  <si>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</si>
  <si>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</si>
  <si>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</si>
  <si>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</si>
  <si>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</si>
  <si>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</si>
  <si>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</si>
  <si>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</si>
  <si>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</si>
  <si>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</si>
  <si>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</si>
  <si>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</si>
  <si>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</si>
  <si>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</si>
  <si>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</si>
  <si>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</si>
  <si>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</si>
  <si>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</si>
  <si>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</si>
  <si>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</si>
  <si>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</si>
  <si>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</si>
  <si>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</si>
  <si>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</si>
  <si>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</si>
  <si>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</si>
  <si>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</si>
  <si>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</si>
  <si>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</si>
  <si>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</si>
  <si>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</si>
  <si>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 xml:space="preserve">1. Aprobacion del presupuesto  por el consejo distrital y acto administrativo 2. Acto administrativo que  potiva y justifica los cambios de los rubros presupuestales 3.  Informe de ejecucion presupuestal reportada al SIA Observa, Contaduria General de la nacion </t>
  </si>
  <si>
    <t>CODIGO:  PE- F05</t>
  </si>
  <si>
    <t xml:space="preserve">FECHA DE APROB:        22/01/2020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</si>
</sst>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
      <sz val="9"/>
      <color indexed="81"/>
      <name val="Tahoma"/>
      <family val="2"/>
    </font>
    <font>
      <b/>
      <sz val="9"/>
      <color indexed="81"/>
      <name val="Tahoma"/>
      <family val="2"/>
    </font>
    <font>
      <b/>
      <sz val="18"/>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29">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63">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4" xfId="0" applyNumberFormat="1" applyFont="1" applyFill="1" applyBorder="1" applyAlignment="1" applyProtection="1">
      <alignment horizontal="center" vertical="center"/>
    </xf>
    <xf numFmtId="0" fontId="5" fillId="0" borderId="7" xfId="0" applyFont="1" applyBorder="1" applyProtection="1"/>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7" xfId="0" applyFont="1" applyFill="1" applyBorder="1" applyAlignment="1" applyProtection="1">
      <alignment vertical="center"/>
      <protection locked="0"/>
    </xf>
    <xf numFmtId="0" fontId="22" fillId="17" borderId="18"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21" xfId="0" applyFont="1" applyBorder="1" applyAlignment="1">
      <alignment vertical="center" wrapText="1"/>
    </xf>
    <xf numFmtId="0" fontId="29" fillId="0" borderId="24" xfId="0" applyFont="1" applyBorder="1" applyAlignment="1">
      <alignment vertical="center" wrapText="1"/>
    </xf>
    <xf numFmtId="0" fontId="19" fillId="3" borderId="7" xfId="0" applyFont="1" applyFill="1" applyBorder="1" applyAlignment="1" applyProtection="1">
      <alignment horizontal="justify" vertical="center" wrapText="1"/>
      <protection locked="0"/>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5" fillId="3" borderId="7" xfId="0" applyFont="1" applyFill="1" applyBorder="1" applyProtection="1"/>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0" fillId="0" borderId="0" xfId="0" applyAlignment="1">
      <alignment wrapText="1"/>
    </xf>
    <xf numFmtId="0" fontId="4" fillId="0" borderId="7" xfId="0" applyFont="1" applyBorder="1" applyAlignment="1" applyProtection="1">
      <alignment horizontal="center" vertical="center"/>
    </xf>
    <xf numFmtId="0" fontId="18" fillId="16" borderId="7" xfId="0" applyFont="1" applyFill="1" applyBorder="1" applyAlignment="1">
      <alignment horizontal="left" vertical="center"/>
    </xf>
    <xf numFmtId="0" fontId="30" fillId="0" borderId="7" xfId="0" applyFont="1" applyBorder="1" applyAlignment="1">
      <alignment horizontal="left" vertical="top" wrapText="1"/>
    </xf>
    <xf numFmtId="0" fontId="30" fillId="0" borderId="7" xfId="0" applyFont="1" applyBorder="1" applyAlignment="1" applyProtection="1">
      <alignment vertical="top" wrapText="1"/>
    </xf>
    <xf numFmtId="0" fontId="18" fillId="16" borderId="14" xfId="0" applyFont="1" applyFill="1" applyBorder="1" applyAlignment="1">
      <alignment horizontal="center" vertical="center"/>
    </xf>
    <xf numFmtId="0" fontId="18" fillId="16" borderId="26" xfId="0" applyFont="1" applyFill="1" applyBorder="1" applyAlignment="1">
      <alignment horizontal="center" vertical="center"/>
    </xf>
    <xf numFmtId="0" fontId="33"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8" fillId="3" borderId="7" xfId="0" applyFont="1" applyFill="1" applyBorder="1" applyAlignment="1" applyProtection="1">
      <alignment horizontal="center" vertical="center"/>
    </xf>
    <xf numFmtId="0" fontId="18" fillId="16" borderId="11" xfId="0" applyFont="1" applyFill="1" applyBorder="1" applyAlignment="1">
      <alignment horizontal="center" vertical="center"/>
    </xf>
    <xf numFmtId="0" fontId="18" fillId="16" borderId="7" xfId="0" applyFont="1" applyFill="1" applyBorder="1" applyAlignment="1">
      <alignment horizontal="center" vertical="center"/>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28" xfId="0" applyFont="1" applyFill="1" applyBorder="1" applyAlignment="1" applyProtection="1">
      <alignment horizontal="center" vertical="center" wrapText="1"/>
    </xf>
    <xf numFmtId="0" fontId="18" fillId="8" borderId="27"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xf>
    <xf numFmtId="0" fontId="29" fillId="0" borderId="20"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6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21</xdr:row>
      <xdr:rowOff>0</xdr:rowOff>
    </xdr:from>
    <xdr:to>
      <xdr:col>2</xdr:col>
      <xdr:colOff>927101</xdr:colOff>
      <xdr:row>23</xdr:row>
      <xdr:rowOff>12697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20</xdr:row>
      <xdr:rowOff>124460</xdr:rowOff>
    </xdr:from>
    <xdr:to>
      <xdr:col>10</xdr:col>
      <xdr:colOff>181610</xdr:colOff>
      <xdr:row>22</xdr:row>
      <xdr:rowOff>144780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17</xdr:row>
      <xdr:rowOff>757489</xdr:rowOff>
    </xdr:from>
    <xdr:to>
      <xdr:col>7</xdr:col>
      <xdr:colOff>754644</xdr:colOff>
      <xdr:row>26</xdr:row>
      <xdr:rowOff>1045</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5</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5</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5</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905970</xdr:colOff>
      <xdr:row>28</xdr:row>
      <xdr:rowOff>66079</xdr:rowOff>
    </xdr:from>
    <xdr:to>
      <xdr:col>11</xdr:col>
      <xdr:colOff>1265465</xdr:colOff>
      <xdr:row>44</xdr:row>
      <xdr:rowOff>90714</xdr:rowOff>
    </xdr:to>
    <xdr:pic>
      <xdr:nvPicPr>
        <xdr:cNvPr id="15" name="Imagen 14">
          <a:extLst>
            <a:ext uri="{FF2B5EF4-FFF2-40B4-BE49-F238E27FC236}">
              <a16:creationId xmlns:a16="http://schemas.microsoft.com/office/drawing/2014/main"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3863" y="18381293"/>
          <a:ext cx="15463423" cy="2854921"/>
        </a:xfrm>
        <a:prstGeom prst="rect">
          <a:avLst/>
        </a:prstGeom>
      </xdr:spPr>
    </xdr:pic>
    <xdr:clientData/>
  </xdr:twoCellAnchor>
  <xdr:twoCellAnchor editAs="oneCell">
    <xdr:from>
      <xdr:col>0</xdr:col>
      <xdr:colOff>40821</xdr:colOff>
      <xdr:row>1</xdr:row>
      <xdr:rowOff>95250</xdr:rowOff>
    </xdr:from>
    <xdr:to>
      <xdr:col>2</xdr:col>
      <xdr:colOff>2027465</xdr:colOff>
      <xdr:row>3</xdr:row>
      <xdr:rowOff>365125</xdr:rowOff>
    </xdr:to>
    <xdr:pic>
      <xdr:nvPicPr>
        <xdr:cNvPr id="16" name="Imagen 15">
          <a:extLst>
            <a:ext uri="{FF2B5EF4-FFF2-40B4-BE49-F238E27FC236}">
              <a16:creationId xmlns:a16="http://schemas.microsoft.com/office/drawing/2014/main"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40821" y="95250"/>
          <a:ext cx="3728358"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a16="http://schemas.microsoft.com/office/drawing/2014/main"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a16="http://schemas.microsoft.com/office/drawing/2014/main"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a16="http://schemas.microsoft.com/office/drawing/2014/main"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a16="http://schemas.microsoft.com/office/drawing/2014/main"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a16="http://schemas.microsoft.com/office/drawing/2014/main"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a16="http://schemas.microsoft.com/office/drawing/2014/main"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a16="http://schemas.microsoft.com/office/drawing/2014/main"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a16="http://schemas.microsoft.com/office/drawing/2014/main"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a16="http://schemas.microsoft.com/office/drawing/2014/main"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a16="http://schemas.microsoft.com/office/drawing/2014/main"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a16="http://schemas.microsoft.com/office/drawing/2014/main"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25"/>
  <sheetViews>
    <sheetView showGridLines="0" tabSelected="1" topLeftCell="C1" zoomScale="70" zoomScaleNormal="70" workbookViewId="0">
      <pane ySplit="6" topLeftCell="A20" activePane="bottomLeft" state="frozen"/>
      <selection pane="bottomLeft" activeCell="C20" sqref="C20"/>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bestFit="1" customWidth="1"/>
    <col min="5" max="5" width="24.140625" style="6" customWidth="1"/>
    <col min="6" max="6" width="11.5703125" style="6" customWidth="1"/>
    <col min="7" max="7" width="17" style="6" customWidth="1"/>
    <col min="8" max="8" width="15" style="6" customWidth="1"/>
    <col min="9" max="9" width="12.5703125" style="6" bestFit="1" customWidth="1"/>
    <col min="10" max="10" width="49.42578125" style="14" customWidth="1"/>
    <col min="11" max="11" width="15" style="3" customWidth="1"/>
    <col min="12" max="12" width="46.85546875" style="3" customWidth="1"/>
    <col min="13" max="13" width="20.7109375" style="3" customWidth="1"/>
    <col min="14" max="14" width="46.85546875" style="3" customWidth="1"/>
    <col min="15" max="15" width="20.7109375" style="3" customWidth="1"/>
    <col min="16" max="16" width="46.85546875" style="3" customWidth="1"/>
    <col min="17" max="17" width="20.7109375" style="3" customWidth="1"/>
    <col min="18" max="18" width="32.42578125" style="3" customWidth="1"/>
    <col min="19" max="19" width="31.28515625" style="3" customWidth="1"/>
    <col min="20" max="16384" width="9.140625" style="3"/>
  </cols>
  <sheetData>
    <row r="2" spans="1:19" ht="24" customHeight="1" x14ac:dyDescent="0.2">
      <c r="A2" s="134" t="s">
        <v>217</v>
      </c>
      <c r="B2" s="134"/>
      <c r="C2" s="134"/>
      <c r="D2" s="132" t="s">
        <v>218</v>
      </c>
      <c r="E2" s="133"/>
      <c r="F2" s="133"/>
      <c r="G2" s="133"/>
      <c r="H2" s="133"/>
      <c r="I2" s="133"/>
      <c r="J2" s="133"/>
      <c r="K2" s="133"/>
      <c r="L2" s="133"/>
      <c r="M2" s="133"/>
      <c r="N2" s="133"/>
      <c r="O2" s="133"/>
      <c r="P2" s="133"/>
      <c r="Q2" s="133"/>
      <c r="R2" s="133"/>
      <c r="S2" s="129" t="s">
        <v>222</v>
      </c>
    </row>
    <row r="3" spans="1:19" ht="21.75" customHeight="1" x14ac:dyDescent="0.2">
      <c r="A3" s="134"/>
      <c r="B3" s="134"/>
      <c r="C3" s="134"/>
      <c r="D3" s="133"/>
      <c r="E3" s="133"/>
      <c r="F3" s="133"/>
      <c r="G3" s="133"/>
      <c r="H3" s="133"/>
      <c r="I3" s="133"/>
      <c r="J3" s="133"/>
      <c r="K3" s="133"/>
      <c r="L3" s="133"/>
      <c r="M3" s="133"/>
      <c r="N3" s="133"/>
      <c r="O3" s="133"/>
      <c r="P3" s="133"/>
      <c r="Q3" s="133"/>
      <c r="R3" s="133"/>
      <c r="S3" s="129" t="s">
        <v>219</v>
      </c>
    </row>
    <row r="4" spans="1:19" s="4" customFormat="1" ht="30.75" customHeight="1" x14ac:dyDescent="0.2">
      <c r="A4" s="134"/>
      <c r="B4" s="134"/>
      <c r="C4" s="134"/>
      <c r="D4" s="133"/>
      <c r="E4" s="133"/>
      <c r="F4" s="133"/>
      <c r="G4" s="133"/>
      <c r="H4" s="133"/>
      <c r="I4" s="133"/>
      <c r="J4" s="133"/>
      <c r="K4" s="133"/>
      <c r="L4" s="133"/>
      <c r="M4" s="133"/>
      <c r="N4" s="133"/>
      <c r="O4" s="133"/>
      <c r="P4" s="133"/>
      <c r="Q4" s="133"/>
      <c r="R4" s="133"/>
      <c r="S4" s="128" t="s">
        <v>223</v>
      </c>
    </row>
    <row r="5" spans="1:19" ht="51" customHeight="1" x14ac:dyDescent="0.2">
      <c r="A5" s="141" t="s">
        <v>87</v>
      </c>
      <c r="B5" s="143" t="s">
        <v>123</v>
      </c>
      <c r="C5" s="143" t="s">
        <v>19</v>
      </c>
      <c r="D5" s="146" t="s">
        <v>113</v>
      </c>
      <c r="E5" s="146"/>
      <c r="F5" s="137" t="s">
        <v>59</v>
      </c>
      <c r="G5" s="121" t="s">
        <v>115</v>
      </c>
      <c r="H5" s="137" t="s">
        <v>60</v>
      </c>
      <c r="I5" s="137" t="s">
        <v>89</v>
      </c>
      <c r="J5" s="122" t="s">
        <v>61</v>
      </c>
      <c r="K5" s="139" t="s">
        <v>96</v>
      </c>
      <c r="L5" s="136" t="s">
        <v>158</v>
      </c>
      <c r="M5" s="136"/>
      <c r="N5" s="136" t="s">
        <v>159</v>
      </c>
      <c r="O5" s="136"/>
      <c r="P5" s="135" t="s">
        <v>189</v>
      </c>
      <c r="Q5" s="135"/>
      <c r="R5" s="130" t="s">
        <v>190</v>
      </c>
      <c r="S5" s="131"/>
    </row>
    <row r="6" spans="1:19" ht="54.75" customHeight="1" thickBot="1" x14ac:dyDescent="0.25">
      <c r="A6" s="142"/>
      <c r="B6" s="144"/>
      <c r="C6" s="145"/>
      <c r="D6" s="63" t="s">
        <v>114</v>
      </c>
      <c r="E6" s="63" t="s">
        <v>112</v>
      </c>
      <c r="F6" s="138"/>
      <c r="G6" s="63" t="s">
        <v>116</v>
      </c>
      <c r="H6" s="138"/>
      <c r="I6" s="138"/>
      <c r="J6" s="64" t="str">
        <f>Listas!V18</f>
        <v>(Requerido para los factores de riesgo &gt;=8, 
sugerido para factores de riesgo entre 5 y 8)</v>
      </c>
      <c r="K6" s="140"/>
      <c r="L6" s="70" t="s">
        <v>124</v>
      </c>
      <c r="M6" s="70" t="s">
        <v>125</v>
      </c>
      <c r="N6" s="127" t="s">
        <v>124</v>
      </c>
      <c r="O6" s="70" t="s">
        <v>125</v>
      </c>
      <c r="P6" s="70" t="s">
        <v>124</v>
      </c>
      <c r="Q6" s="70" t="s">
        <v>125</v>
      </c>
      <c r="R6" s="70" t="s">
        <v>124</v>
      </c>
      <c r="S6" s="70" t="s">
        <v>125</v>
      </c>
    </row>
    <row r="7" spans="1:19" ht="75" x14ac:dyDescent="0.25">
      <c r="A7" s="97">
        <v>1</v>
      </c>
      <c r="B7" s="108" t="s">
        <v>198</v>
      </c>
      <c r="C7" s="112" t="s">
        <v>192</v>
      </c>
      <c r="D7" s="59" t="s">
        <v>97</v>
      </c>
      <c r="E7" s="60" t="str">
        <f>IF($D7="","",(LOOKUP($D7,Listas!$K$2:$K$6,Occurrences)))</f>
        <v>1. No se ha presentado en los últimos 5 años</v>
      </c>
      <c r="F7" s="61">
        <f>IF($D7="","",(LOOKUP($D7,Listas!$K$2:$K$6,Listas!$S$2:$S$6)))</f>
        <v>1</v>
      </c>
      <c r="G7" s="59" t="s">
        <v>110</v>
      </c>
      <c r="H7" s="61">
        <f>IF($G7="","",(LOOKUP($G7,Listas!$M$2:$M$6,Listas!$S$2:$S$6)))</f>
        <v>4</v>
      </c>
      <c r="I7" s="62">
        <f t="shared" ref="I7:I35" si="0">IF($D7="","",$F7*$H7)</f>
        <v>4</v>
      </c>
      <c r="J7" s="125" t="s">
        <v>207</v>
      </c>
      <c r="K7" s="107">
        <f>'Calificacion Controles'!AE4</f>
        <v>1.0666666666666669</v>
      </c>
      <c r="L7"/>
      <c r="M7" s="117">
        <v>1</v>
      </c>
      <c r="N7"/>
      <c r="O7" s="117"/>
      <c r="P7"/>
      <c r="Q7" s="117"/>
      <c r="R7" s="118"/>
      <c r="S7" s="118"/>
    </row>
    <row r="8" spans="1:19" ht="111.75" customHeight="1" x14ac:dyDescent="0.2">
      <c r="A8" s="126">
        <f>A7+1</f>
        <v>2</v>
      </c>
      <c r="B8" s="108" t="s">
        <v>198</v>
      </c>
      <c r="C8" s="53" t="s">
        <v>208</v>
      </c>
      <c r="D8" s="54" t="s">
        <v>99</v>
      </c>
      <c r="E8" s="60" t="str">
        <f>IF($D8="","",(LOOKUP($D8,Listas!$K$2:$K$6,Occurrences)))</f>
        <v>3. Se ha presentado al menos 1 vez en los últimos 2 años.</v>
      </c>
      <c r="F8" s="61">
        <f>IF($D8="","",(LOOKUP($D8,Listas!$K$2:$K$6,Listas!$S$2:$S$6)))</f>
        <v>3</v>
      </c>
      <c r="G8" s="54" t="s">
        <v>109</v>
      </c>
      <c r="H8" s="61">
        <f>IF($G8="","",(LOOKUP($G8,Listas!$M$2:$M$6,Listas!$S$2:$S$6)))</f>
        <v>3</v>
      </c>
      <c r="I8" s="62">
        <f t="shared" si="0"/>
        <v>9</v>
      </c>
      <c r="J8" s="113" t="s">
        <v>212</v>
      </c>
      <c r="K8" s="68">
        <f>'Calificacion Controles'!AE5</f>
        <v>4.05</v>
      </c>
      <c r="L8" s="123"/>
      <c r="M8" s="85">
        <v>1</v>
      </c>
      <c r="N8" s="123"/>
      <c r="O8" s="85"/>
      <c r="P8" s="96"/>
      <c r="Q8" s="85"/>
      <c r="R8" s="69"/>
      <c r="S8" s="69"/>
    </row>
    <row r="9" spans="1:19" ht="89.25" x14ac:dyDescent="0.2">
      <c r="A9" s="126">
        <f t="shared" ref="A9:A14" si="1">A8+1</f>
        <v>3</v>
      </c>
      <c r="B9" s="108" t="s">
        <v>198</v>
      </c>
      <c r="C9" s="53" t="s">
        <v>206</v>
      </c>
      <c r="D9" s="54" t="s">
        <v>98</v>
      </c>
      <c r="E9" s="60" t="s">
        <v>103</v>
      </c>
      <c r="F9" s="61">
        <f>IF($D9="","",(LOOKUP($D9,Listas!$K$2:$K$6,Listas!$S$2:$S$6)))</f>
        <v>2</v>
      </c>
      <c r="G9" s="54" t="s">
        <v>109</v>
      </c>
      <c r="H9" s="61">
        <f>IF($G9="","",(LOOKUP($G9,Listas!$M$2:$M$6,Listas!$S$2:$S$6)))</f>
        <v>3</v>
      </c>
      <c r="I9" s="62">
        <f t="shared" si="0"/>
        <v>6</v>
      </c>
      <c r="J9" s="113" t="s">
        <v>220</v>
      </c>
      <c r="K9" s="68">
        <f>'Calificacion Controles'!AE6</f>
        <v>1.1999999999999997</v>
      </c>
      <c r="L9" s="123"/>
      <c r="M9" s="85">
        <v>0.8</v>
      </c>
      <c r="N9" s="69"/>
      <c r="O9" s="69"/>
      <c r="P9" s="96"/>
      <c r="Q9" s="85"/>
      <c r="R9" s="69"/>
      <c r="S9" s="69"/>
    </row>
    <row r="10" spans="1:19" ht="66.75" customHeight="1" x14ac:dyDescent="0.2">
      <c r="A10" s="126">
        <f t="shared" si="1"/>
        <v>4</v>
      </c>
      <c r="B10" s="108" t="s">
        <v>198</v>
      </c>
      <c r="C10" s="53" t="s">
        <v>193</v>
      </c>
      <c r="D10" s="54" t="s">
        <v>98</v>
      </c>
      <c r="E10" s="60" t="s">
        <v>103</v>
      </c>
      <c r="F10" s="61">
        <f>IF($D10="","",(LOOKUP($D10,Listas!$K$2:$K$6,Listas!$S$2:$S$6)))</f>
        <v>2</v>
      </c>
      <c r="G10" s="54" t="s">
        <v>109</v>
      </c>
      <c r="H10" s="61">
        <f>IF($G10="","",(LOOKUP($G10,Listas!$M$2:$M$6,Listas!$S$2:$S$6)))</f>
        <v>3</v>
      </c>
      <c r="I10" s="62">
        <f t="shared" si="0"/>
        <v>6</v>
      </c>
      <c r="J10" s="113" t="s">
        <v>209</v>
      </c>
      <c r="K10" s="68">
        <f>'Calificacion Controles'!AE7</f>
        <v>1.1999999999999997</v>
      </c>
      <c r="L10" s="123"/>
      <c r="M10" s="85">
        <v>1</v>
      </c>
      <c r="N10" s="69"/>
      <c r="O10" s="69"/>
      <c r="P10" s="96"/>
      <c r="Q10" s="85"/>
      <c r="R10" s="69"/>
      <c r="S10" s="69"/>
    </row>
    <row r="11" spans="1:19" ht="86.25" customHeight="1" x14ac:dyDescent="0.2">
      <c r="A11" s="126">
        <f t="shared" si="1"/>
        <v>5</v>
      </c>
      <c r="B11" s="108" t="s">
        <v>200</v>
      </c>
      <c r="C11" s="53" t="s">
        <v>194</v>
      </c>
      <c r="D11" s="54" t="s">
        <v>98</v>
      </c>
      <c r="E11" s="60" t="s">
        <v>103</v>
      </c>
      <c r="F11" s="61">
        <f>IF($D11="","",(LOOKUP($D11,Listas!$K$2:$K$6,Listas!$S$2:$S$6)))</f>
        <v>2</v>
      </c>
      <c r="G11" s="54" t="s">
        <v>110</v>
      </c>
      <c r="H11" s="61">
        <f>IF($G11="","",(LOOKUP($G11,Listas!$M$2:$M$6,Listas!$S$2:$S$6)))</f>
        <v>4</v>
      </c>
      <c r="I11" s="62">
        <f t="shared" si="0"/>
        <v>8</v>
      </c>
      <c r="J11" s="113" t="s">
        <v>210</v>
      </c>
      <c r="K11" s="68">
        <f>'Calificacion Controles'!AE8</f>
        <v>2.666666666666667</v>
      </c>
      <c r="L11" s="123"/>
      <c r="M11" s="85">
        <v>1</v>
      </c>
      <c r="N11" s="69"/>
      <c r="O11" s="69"/>
      <c r="P11" s="96"/>
      <c r="Q11" s="85"/>
      <c r="R11" s="69"/>
      <c r="S11" s="69"/>
    </row>
    <row r="12" spans="1:19" ht="38.25" x14ac:dyDescent="0.2">
      <c r="A12" s="126">
        <f t="shared" si="1"/>
        <v>6</v>
      </c>
      <c r="B12" s="108" t="s">
        <v>201</v>
      </c>
      <c r="C12" s="53" t="s">
        <v>195</v>
      </c>
      <c r="D12" s="54" t="s">
        <v>98</v>
      </c>
      <c r="E12" s="60" t="s">
        <v>103</v>
      </c>
      <c r="F12" s="61">
        <f>IF($D12="","",(LOOKUP($D12,Listas!$K$2:$K$6,Listas!$S$2:$S$6)))</f>
        <v>2</v>
      </c>
      <c r="G12" s="54" t="s">
        <v>109</v>
      </c>
      <c r="H12" s="61">
        <f>IF($G12="","",(LOOKUP($G12,Listas!$M$2:$M$6,Listas!$S$2:$S$6)))</f>
        <v>3</v>
      </c>
      <c r="I12" s="62">
        <f t="shared" si="0"/>
        <v>6</v>
      </c>
      <c r="J12" s="113" t="s">
        <v>211</v>
      </c>
      <c r="K12" s="68">
        <f>'Calificacion Controles'!AE9</f>
        <v>1.1999999999999997</v>
      </c>
      <c r="L12" s="123"/>
      <c r="M12" s="85">
        <v>1</v>
      </c>
      <c r="N12" s="69"/>
      <c r="O12" s="69"/>
      <c r="P12" s="96"/>
      <c r="Q12" s="85"/>
      <c r="R12" s="69"/>
      <c r="S12" s="69"/>
    </row>
    <row r="13" spans="1:19" ht="51" x14ac:dyDescent="0.2">
      <c r="A13" s="126">
        <f t="shared" si="1"/>
        <v>7</v>
      </c>
      <c r="B13" s="108" t="s">
        <v>202</v>
      </c>
      <c r="C13" s="86" t="s">
        <v>196</v>
      </c>
      <c r="D13" s="87" t="s">
        <v>99</v>
      </c>
      <c r="E13" s="60" t="str">
        <f>IF($D13="","",(LOOKUP($D13,Listas!$K$2:$K$6,Occurrences)))</f>
        <v>3. Se ha presentado al menos 1 vez en los últimos 2 años.</v>
      </c>
      <c r="F13" s="61">
        <f>IF($D13="","",(LOOKUP($D13,Listas!$K$2:$K$6,Listas!$S$2:$S$6)))</f>
        <v>3</v>
      </c>
      <c r="G13" s="87" t="s">
        <v>109</v>
      </c>
      <c r="H13" s="61">
        <f>IF($G13="","",(LOOKUP($G13,Listas!$M$2:$M$6,Listas!$S$2:$S$6)))</f>
        <v>3</v>
      </c>
      <c r="I13" s="62">
        <f t="shared" si="0"/>
        <v>9</v>
      </c>
      <c r="J13" s="119" t="s">
        <v>213</v>
      </c>
      <c r="K13" s="68">
        <f>'Calificacion Controles'!AE10</f>
        <v>-1.7999999999999996</v>
      </c>
      <c r="L13" s="123"/>
      <c r="M13" s="85">
        <v>0.8</v>
      </c>
      <c r="N13" s="69"/>
      <c r="O13" s="69"/>
      <c r="P13" s="69"/>
      <c r="Q13" s="69"/>
      <c r="R13" s="69"/>
      <c r="S13" s="69"/>
    </row>
    <row r="14" spans="1:19" ht="63" x14ac:dyDescent="0.2">
      <c r="A14" s="126">
        <f t="shared" si="1"/>
        <v>8</v>
      </c>
      <c r="B14" s="108" t="s">
        <v>199</v>
      </c>
      <c r="C14" s="86" t="s">
        <v>197</v>
      </c>
      <c r="D14" s="87" t="s">
        <v>97</v>
      </c>
      <c r="E14" s="60" t="str">
        <f>IF($D14="","",(LOOKUP($D14,Listas!$K$2:$K$6,Occurrences)))</f>
        <v>1. No se ha presentado en los últimos 5 años</v>
      </c>
      <c r="F14" s="61">
        <f>IF($D14="","",(LOOKUP($D14,Listas!$K$2:$K$6,Listas!$S$2:$S$6)))</f>
        <v>1</v>
      </c>
      <c r="G14" s="87" t="s">
        <v>109</v>
      </c>
      <c r="H14" s="61">
        <f>IF($G14="","",(LOOKUP($G14,Listas!$M$2:$M$6,Listas!$S$2:$S$6)))</f>
        <v>3</v>
      </c>
      <c r="I14" s="62">
        <f t="shared" si="0"/>
        <v>3</v>
      </c>
      <c r="J14" s="119" t="s">
        <v>214</v>
      </c>
      <c r="K14" s="68">
        <f>'Calificacion Controles'!AE11</f>
        <v>0</v>
      </c>
      <c r="L14" s="124"/>
      <c r="M14" s="85">
        <v>0.8</v>
      </c>
      <c r="N14" s="69"/>
      <c r="O14" s="69"/>
      <c r="P14" s="69"/>
      <c r="Q14" s="69"/>
      <c r="R14" s="69"/>
      <c r="S14" s="69"/>
    </row>
    <row r="15" spans="1:19" ht="132" customHeight="1" x14ac:dyDescent="0.2">
      <c r="A15" s="126">
        <v>9</v>
      </c>
      <c r="B15" s="108" t="s">
        <v>203</v>
      </c>
      <c r="C15" s="86" t="s">
        <v>215</v>
      </c>
      <c r="D15" s="87" t="s">
        <v>98</v>
      </c>
      <c r="E15" s="60" t="s">
        <v>103</v>
      </c>
      <c r="F15" s="61">
        <f>IF($D15="","",(LOOKUP($D15,Listas!$K$2:$K$6,Listas!$S$2:$S$6)))</f>
        <v>2</v>
      </c>
      <c r="G15" s="87" t="s">
        <v>110</v>
      </c>
      <c r="H15" s="61">
        <f>IF($G15="","",(LOOKUP($G15,Listas!$M$2:$M$6,Listas!$S$2:$S$6)))</f>
        <v>4</v>
      </c>
      <c r="I15" s="62">
        <f t="shared" si="0"/>
        <v>8</v>
      </c>
      <c r="J15" s="119" t="s">
        <v>216</v>
      </c>
      <c r="K15" s="68">
        <f>'Calificacion Controles'!AE12</f>
        <v>1.0666666666666664</v>
      </c>
      <c r="L15" s="124"/>
      <c r="M15" s="85">
        <v>0.9</v>
      </c>
      <c r="N15" s="69"/>
      <c r="O15" s="69"/>
      <c r="P15" s="69"/>
      <c r="Q15" s="69"/>
      <c r="R15" s="69"/>
      <c r="S15" s="69"/>
    </row>
    <row r="16" spans="1:19" ht="77.25" customHeight="1" x14ac:dyDescent="0.2">
      <c r="A16" s="126">
        <v>10</v>
      </c>
      <c r="B16" s="108" t="s">
        <v>204</v>
      </c>
      <c r="C16" s="86" t="s">
        <v>205</v>
      </c>
      <c r="D16" s="87" t="s">
        <v>97</v>
      </c>
      <c r="E16" s="104" t="s">
        <v>103</v>
      </c>
      <c r="F16" s="105">
        <f>IF($D16="","",(LOOKUP($D16,Listas!$K$2:$K$6,Listas!$S$2:$S$6)))</f>
        <v>1</v>
      </c>
      <c r="G16" s="87" t="s">
        <v>110</v>
      </c>
      <c r="H16" s="105">
        <f>IF($G16="","",(LOOKUP($G16,Listas!$M$2:$M$6,Listas!$S$2:$S$6)))</f>
        <v>4</v>
      </c>
      <c r="I16" s="106">
        <f t="shared" si="0"/>
        <v>4</v>
      </c>
      <c r="J16" s="120" t="s">
        <v>221</v>
      </c>
      <c r="K16" s="107">
        <f>'Calificacion Controles'!AE13</f>
        <v>0</v>
      </c>
      <c r="L16" s="124"/>
      <c r="M16" s="85">
        <v>1</v>
      </c>
      <c r="N16" s="69"/>
      <c r="O16" s="69"/>
      <c r="P16" s="69"/>
      <c r="Q16" s="69"/>
      <c r="R16" s="69"/>
      <c r="S16" s="69"/>
    </row>
    <row r="17" spans="1:19" ht="88.5" customHeight="1" x14ac:dyDescent="0.2">
      <c r="A17" s="109"/>
      <c r="B17" s="110"/>
      <c r="C17" s="98"/>
      <c r="D17" s="99"/>
      <c r="E17" s="100"/>
      <c r="F17" s="101"/>
      <c r="G17" s="99"/>
      <c r="H17" s="101"/>
      <c r="I17" s="111"/>
      <c r="J17" s="102"/>
      <c r="K17" s="116"/>
      <c r="L17" s="103"/>
      <c r="M17" s="103"/>
      <c r="N17" s="103"/>
      <c r="O17" s="103"/>
      <c r="P17" s="103"/>
      <c r="Q17" s="103"/>
      <c r="R17" s="103"/>
      <c r="S17" s="103"/>
    </row>
    <row r="18" spans="1:19" ht="57.75" customHeight="1" x14ac:dyDescent="0.2">
      <c r="A18" s="109"/>
      <c r="B18" s="110"/>
      <c r="C18" s="98"/>
      <c r="D18" s="99"/>
      <c r="E18" s="100"/>
      <c r="F18" s="101"/>
      <c r="G18" s="99"/>
      <c r="H18" s="101"/>
      <c r="I18" s="111"/>
      <c r="J18" s="102"/>
      <c r="K18" s="116"/>
      <c r="L18" s="103"/>
      <c r="M18" s="103"/>
      <c r="N18" s="103"/>
      <c r="O18" s="103"/>
      <c r="P18" s="103"/>
      <c r="Q18" s="103"/>
      <c r="R18" s="103"/>
      <c r="S18" s="103"/>
    </row>
    <row r="19" spans="1:19" ht="183" customHeight="1" x14ac:dyDescent="0.2">
      <c r="A19" s="3"/>
      <c r="B19" s="3"/>
      <c r="C19" s="43" t="s">
        <v>88</v>
      </c>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3"/>
      <c r="B23" s="3"/>
      <c r="C23" s="3"/>
      <c r="D23" s="3"/>
      <c r="E23" s="3"/>
      <c r="F23" s="3" t="str">
        <f>IF($D23="","",AVERAGE(VLOOKUP($D23,Listas!$K$1:$S$6,9,0),(VLOOKUP($E23,Listas!$L$1:$S$6,8,0))))</f>
        <v/>
      </c>
      <c r="G23" s="3"/>
      <c r="H23" s="3" t="str">
        <f>IF($G23="","",(AVERAGE(VLOOKUP($G23,Listas!$M$1:$S$6,7,0))))</f>
        <v/>
      </c>
      <c r="I23" s="3" t="str">
        <f t="shared" si="0"/>
        <v/>
      </c>
      <c r="J23" s="3"/>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28"/>
      <c r="B29" s="26"/>
      <c r="C29" s="26"/>
      <c r="D29" s="57"/>
      <c r="E29" s="29"/>
      <c r="F29" s="27" t="str">
        <f>IF($D29="","",AVERAGE(VLOOKUP($D29,Listas!$K$1:$S$6,9,0),(VLOOKUP($E29,Listas!$L$1:$S$6,8,0))))</f>
        <v/>
      </c>
      <c r="G29" s="29"/>
      <c r="H29" s="55" t="str">
        <f>IF($G29="","",(AVERAGE(VLOOKUP($G29,Listas!$M$1:$S$6,7,0))))</f>
        <v/>
      </c>
      <c r="I29" s="30" t="str">
        <f t="shared" si="0"/>
        <v/>
      </c>
      <c r="J29" s="31"/>
      <c r="K29" s="32"/>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1:10" ht="14.25" customHeight="1" x14ac:dyDescent="0.2">
      <c r="A33" s="3"/>
      <c r="B33" s="3"/>
      <c r="C33" s="3"/>
      <c r="D33" s="3"/>
      <c r="E33" s="3"/>
      <c r="F33" s="3" t="str">
        <f>IF($D33="","",AVERAGE(VLOOKUP($D33,Listas!$K$1:$S$6,9,0),(VLOOKUP($E33,Listas!$L$1:$S$6,8,0))))</f>
        <v/>
      </c>
      <c r="G33" s="3"/>
      <c r="H33" s="3" t="str">
        <f>IF($G33="","",(AVERAGE(VLOOKUP($G33,Listas!$M$1:$S$6,7,0))))</f>
        <v/>
      </c>
      <c r="I33" s="3" t="str">
        <f t="shared" si="0"/>
        <v/>
      </c>
      <c r="J33" s="3"/>
    </row>
    <row r="34" spans="1:10" ht="14.25" customHeight="1" x14ac:dyDescent="0.2">
      <c r="A34" s="3"/>
      <c r="B34" s="3"/>
      <c r="C34" s="3"/>
      <c r="D34" s="3"/>
      <c r="E34" s="3"/>
      <c r="F34" s="3" t="str">
        <f>IF($D34="","",AVERAGE(VLOOKUP($D34,Listas!$K$1:$S$6,9,0),(VLOOKUP($E34,Listas!$L$1:$S$6,8,0))))</f>
        <v/>
      </c>
      <c r="G34" s="3"/>
      <c r="H34" s="3" t="str">
        <f>IF($G34="","",(AVERAGE(VLOOKUP($G34,Listas!$M$1:$S$6,7,0))))</f>
        <v/>
      </c>
      <c r="I34" s="3" t="str">
        <f t="shared" si="0"/>
        <v/>
      </c>
      <c r="J34" s="3"/>
    </row>
    <row r="35" spans="1:10" ht="14.25" customHeight="1" x14ac:dyDescent="0.2">
      <c r="A35" s="3"/>
      <c r="B35" s="3"/>
      <c r="C35" s="3"/>
      <c r="D35" s="3"/>
      <c r="E35" s="3"/>
      <c r="F35" s="3" t="str">
        <f>IF($D35="","",AVERAGE(VLOOKUP($D35,Listas!$K$1:$S$6,9,0),(VLOOKUP($E35,Listas!$L$1:$S$6,8,0))))</f>
        <v/>
      </c>
      <c r="G35" s="3"/>
      <c r="H35" s="3" t="str">
        <f>IF($G35="","",(AVERAGE(VLOOKUP($G35,Listas!$M$1:$S$6,7,0))))</f>
        <v/>
      </c>
      <c r="I35" s="3" t="str">
        <f t="shared" si="0"/>
        <v/>
      </c>
      <c r="J35" s="3"/>
    </row>
    <row r="36" spans="1:10" ht="14.25" customHeight="1" x14ac:dyDescent="0.2">
      <c r="A36" s="3"/>
      <c r="B36" s="3"/>
      <c r="C36" s="3"/>
      <c r="D36" s="3"/>
      <c r="E36" s="3"/>
      <c r="F36" s="3" t="str">
        <f>IF($D36="","",AVERAGE(VLOOKUP($D36,Listas!$K$1:$S$6,9,0),(VLOOKUP($E36,Listas!$L$1:$S$6,8,0))))</f>
        <v/>
      </c>
      <c r="G36" s="3"/>
      <c r="H36" s="3" t="str">
        <f>IF($G36="","",(AVERAGE(VLOOKUP($G36,Listas!$M$1:$S$6,7,0))))</f>
        <v/>
      </c>
      <c r="I36" s="3" t="str">
        <f t="shared" ref="I36:I67" si="2">IF($D36="","",$F36*$H36)</f>
        <v/>
      </c>
      <c r="J36" s="3"/>
    </row>
    <row r="37" spans="1:10" ht="14.25" customHeight="1" x14ac:dyDescent="0.2">
      <c r="A37" s="3"/>
      <c r="B37" s="3"/>
      <c r="C37" s="3"/>
      <c r="D37" s="3"/>
      <c r="E37" s="3"/>
      <c r="F37" s="3" t="str">
        <f>IF($D37="","",AVERAGE(VLOOKUP($D37,Listas!$K$1:$S$6,9,0),(VLOOKUP($E37,Listas!$L$1:$S$6,8,0))))</f>
        <v/>
      </c>
      <c r="G37" s="3"/>
      <c r="H37" s="3" t="str">
        <f>IF($G37="","",(AVERAGE(VLOOKUP($G37,Listas!$M$1:$S$6,7,0))))</f>
        <v/>
      </c>
      <c r="I37" s="3" t="str">
        <f t="shared" si="2"/>
        <v/>
      </c>
      <c r="J37" s="3"/>
    </row>
    <row r="38" spans="1:10" ht="14.25" customHeight="1" x14ac:dyDescent="0.2">
      <c r="A38" s="3"/>
      <c r="B38" s="3"/>
      <c r="C38" s="3"/>
      <c r="D38" s="3"/>
      <c r="E38" s="3"/>
      <c r="F38" s="3" t="str">
        <f>IF($D38="","",AVERAGE(VLOOKUP($D38,Listas!$K$1:$S$6,9,0),(VLOOKUP($E38,Listas!$L$1:$S$6,8,0))))</f>
        <v/>
      </c>
      <c r="G38" s="3"/>
      <c r="H38" s="3" t="str">
        <f>IF($G38="","",(AVERAGE(VLOOKUP($G38,Listas!$M$1:$S$6,7,0))))</f>
        <v/>
      </c>
      <c r="I38" s="3" t="str">
        <f t="shared" si="2"/>
        <v/>
      </c>
      <c r="J38" s="3"/>
    </row>
    <row r="39" spans="1:10" ht="14.25" customHeight="1" x14ac:dyDescent="0.2">
      <c r="A39" s="3"/>
      <c r="B39" s="3"/>
      <c r="C39" s="3"/>
      <c r="D39" s="3"/>
      <c r="E39" s="3"/>
      <c r="F39" s="3" t="str">
        <f>IF($D39="","",AVERAGE(VLOOKUP($D39,Listas!$K$1:$S$6,9,0),(VLOOKUP($E39,Listas!$L$1:$S$6,8,0))))</f>
        <v/>
      </c>
      <c r="G39" s="3"/>
      <c r="H39" s="3" t="str">
        <f>IF($G39="","",(AVERAGE(VLOOKUP($G39,Listas!$M$1:$S$6,7,0))))</f>
        <v/>
      </c>
      <c r="I39" s="3" t="str">
        <f t="shared" si="2"/>
        <v/>
      </c>
      <c r="J39" s="3"/>
    </row>
    <row r="40" spans="1:10" ht="14.25" customHeight="1" x14ac:dyDescent="0.2">
      <c r="A40" s="3"/>
      <c r="B40" s="3"/>
      <c r="C40" s="3"/>
      <c r="D40" s="3"/>
      <c r="E40" s="3"/>
      <c r="F40" s="3" t="str">
        <f>IF($D40="","",AVERAGE(VLOOKUP($D40,Listas!$K$1:$S$6,9,0),(VLOOKUP($E40,Listas!$L$1:$S$6,8,0))))</f>
        <v/>
      </c>
      <c r="G40" s="3"/>
      <c r="H40" s="3" t="str">
        <f>IF($G40="","",(AVERAGE(VLOOKUP($G40,Listas!$M$1:$S$6,7,0))))</f>
        <v/>
      </c>
      <c r="I40" s="3" t="str">
        <f t="shared" si="2"/>
        <v/>
      </c>
      <c r="J40" s="3"/>
    </row>
    <row r="41" spans="1:10" ht="14.25" customHeight="1" x14ac:dyDescent="0.2">
      <c r="A41" s="3"/>
      <c r="B41" s="3"/>
      <c r="C41" s="3"/>
      <c r="D41" s="3"/>
      <c r="E41" s="3"/>
      <c r="F41" s="3" t="str">
        <f>IF($D41="","",AVERAGE(VLOOKUP($D41,Listas!$K$1:$S$6,9,0),(VLOOKUP($E41,Listas!$L$1:$S$6,8,0))))</f>
        <v/>
      </c>
      <c r="G41" s="3"/>
      <c r="H41" s="3" t="str">
        <f>IF($G41="","",(AVERAGE(VLOOKUP($G41,Listas!$M$1:$S$6,7,0))))</f>
        <v/>
      </c>
      <c r="I41" s="3" t="str">
        <f t="shared" si="2"/>
        <v/>
      </c>
      <c r="J41" s="3"/>
    </row>
    <row r="42" spans="1:10" ht="14.25" customHeight="1" x14ac:dyDescent="0.2">
      <c r="A42" s="3"/>
      <c r="B42" s="3"/>
      <c r="C42" s="3"/>
      <c r="D42" s="3"/>
      <c r="E42" s="3"/>
      <c r="F42" s="3" t="str">
        <f>IF($D42="","",AVERAGE(VLOOKUP($D42,Listas!$K$1:$S$6,9,0),(VLOOKUP($E42,Listas!$L$1:$S$6,8,0))))</f>
        <v/>
      </c>
      <c r="G42" s="3"/>
      <c r="H42" s="3" t="str">
        <f>IF($G42="","",(AVERAGE(VLOOKUP($G42,Listas!$M$1:$S$6,7,0))))</f>
        <v/>
      </c>
      <c r="I42" s="3" t="str">
        <f t="shared" si="2"/>
        <v/>
      </c>
      <c r="J42" s="3"/>
    </row>
    <row r="43" spans="1:10" ht="14.25" customHeight="1" x14ac:dyDescent="0.2">
      <c r="A43" s="3"/>
      <c r="B43" s="3"/>
      <c r="C43" s="3"/>
      <c r="D43" s="3"/>
      <c r="E43" s="3"/>
      <c r="F43" s="3" t="str">
        <f>IF($D43="","",AVERAGE(VLOOKUP($D43,Listas!$K$1:$S$6,9,0),(VLOOKUP($E43,Listas!$L$1:$S$6,8,0))))</f>
        <v/>
      </c>
      <c r="G43" s="3"/>
      <c r="H43" s="3" t="str">
        <f>IF($G43="","",(AVERAGE(VLOOKUP($G43,Listas!$M$1:$S$6,7,0))))</f>
        <v/>
      </c>
      <c r="I43" s="3" t="str">
        <f t="shared" si="2"/>
        <v/>
      </c>
      <c r="J43" s="3"/>
    </row>
    <row r="44" spans="1:10" ht="14.25" customHeight="1" x14ac:dyDescent="0.2">
      <c r="A44" s="3"/>
      <c r="B44" s="3"/>
      <c r="C44" s="3"/>
      <c r="D44" s="3"/>
      <c r="E44" s="3"/>
      <c r="F44" s="3" t="str">
        <f>IF($D44="","",AVERAGE(VLOOKUP($D44,Listas!$K$1:$S$6,9,0),(VLOOKUP($E44,Listas!$L$1:$S$6,8,0))))</f>
        <v/>
      </c>
      <c r="G44" s="3"/>
      <c r="H44" s="3" t="str">
        <f>IF($G44="","",(AVERAGE(VLOOKUP($G44,Listas!$M$1:$S$6,7,0))))</f>
        <v/>
      </c>
      <c r="I44" s="3" t="str">
        <f t="shared" si="2"/>
        <v/>
      </c>
      <c r="J44" s="3"/>
    </row>
    <row r="45" spans="1:10" ht="14.25" customHeight="1" x14ac:dyDescent="0.2">
      <c r="A45" s="3"/>
      <c r="B45" s="3"/>
      <c r="C45" s="3"/>
      <c r="D45" s="3"/>
      <c r="E45" s="3"/>
      <c r="F45" s="3" t="str">
        <f>IF($D45="","",AVERAGE(VLOOKUP($D45,Listas!$K$1:$S$6,9,0),(VLOOKUP($E45,Listas!$L$1:$S$6,8,0))))</f>
        <v/>
      </c>
      <c r="G45" s="3"/>
      <c r="H45" s="3" t="str">
        <f>IF($G45="","",(AVERAGE(VLOOKUP($G45,Listas!$M$1:$S$6,7,0))))</f>
        <v/>
      </c>
      <c r="I45" s="3" t="str">
        <f t="shared" si="2"/>
        <v/>
      </c>
      <c r="J45" s="3"/>
    </row>
    <row r="46" spans="1:10" ht="14.25" customHeight="1" x14ac:dyDescent="0.2">
      <c r="A46" s="3"/>
      <c r="B46" s="3"/>
      <c r="C46" s="3"/>
      <c r="D46" s="3"/>
      <c r="E46" s="3"/>
      <c r="F46" s="3" t="str">
        <f>IF($D46="","",AVERAGE(VLOOKUP($D46,Listas!$K$1:$S$6,9,0),(VLOOKUP($E46,Listas!$L$1:$S$6,8,0))))</f>
        <v/>
      </c>
      <c r="G46" s="3"/>
      <c r="H46" s="3" t="str">
        <f>IF($G46="","",(AVERAGE(VLOOKUP($G46,Listas!$M$1:$S$6,7,0))))</f>
        <v/>
      </c>
      <c r="I46" s="3" t="str">
        <f t="shared" si="2"/>
        <v/>
      </c>
      <c r="J46" s="3"/>
    </row>
    <row r="47" spans="1:10" ht="14.25" customHeight="1" x14ac:dyDescent="0.2">
      <c r="A47" s="3"/>
      <c r="B47" s="3"/>
      <c r="C47" s="3"/>
      <c r="D47" s="3"/>
      <c r="E47" s="3"/>
      <c r="F47" s="3" t="str">
        <f>IF($D47="","",AVERAGE(VLOOKUP($D47,Listas!$K$1:$S$6,9,0),(VLOOKUP($E47,Listas!$L$1:$S$6,8,0))))</f>
        <v/>
      </c>
      <c r="G47" s="3"/>
      <c r="H47" s="3" t="str">
        <f>IF($G47="","",(AVERAGE(VLOOKUP($G47,Listas!$M$1:$S$6,7,0))))</f>
        <v/>
      </c>
      <c r="I47" s="3" t="str">
        <f t="shared" si="2"/>
        <v/>
      </c>
      <c r="J47" s="3"/>
    </row>
    <row r="48" spans="1:10" ht="14.25" customHeight="1" x14ac:dyDescent="0.2">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x14ac:dyDescent="0.2">
      <c r="A61" s="3"/>
      <c r="B61" s="3"/>
      <c r="C61" s="3"/>
      <c r="D61" s="3"/>
      <c r="E61" s="3"/>
      <c r="F61" s="3" t="str">
        <f>IF($D61="","",AVERAGE(VLOOKUP($D61,Listas!$K$1:$S$6,9,0),(VLOOKUP($E61,Listas!$L$1:$S$6,8,0))))</f>
        <v/>
      </c>
      <c r="G61" s="3"/>
      <c r="H61" s="3" t="str">
        <f>IF($G61="","",(AVERAGE(VLOOKUP($G61,Listas!$M$1:$S$6,7,0))))</f>
        <v/>
      </c>
      <c r="I61" s="3" t="str">
        <f t="shared" si="2"/>
        <v/>
      </c>
      <c r="J61" s="3"/>
    </row>
    <row r="62" spans="1:10" x14ac:dyDescent="0.2">
      <c r="A62" s="3"/>
      <c r="B62" s="3"/>
      <c r="C62" s="3"/>
      <c r="D62" s="3"/>
      <c r="E62" s="3"/>
      <c r="F62" s="3" t="str">
        <f>IF($D62="","",AVERAGE(VLOOKUP($D62,Listas!$K$1:$S$6,9,0),(VLOOKUP($E62,Listas!$L$1:$S$6,8,0))))</f>
        <v/>
      </c>
      <c r="G62" s="3"/>
      <c r="H62" s="3" t="str">
        <f>IF($G62="","",(AVERAGE(VLOOKUP($G62,Listas!$M$1:$S$6,7,0))))</f>
        <v/>
      </c>
      <c r="I62" s="3" t="str">
        <f t="shared" si="2"/>
        <v/>
      </c>
      <c r="J62" s="3"/>
    </row>
    <row r="63" spans="1:10" ht="12.6" customHeight="1" x14ac:dyDescent="0.2">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x14ac:dyDescent="0.2">
      <c r="A64" s="3"/>
      <c r="B64" s="3"/>
      <c r="C64" s="3"/>
      <c r="D64" s="3"/>
      <c r="E64" s="3"/>
      <c r="F64" s="3" t="str">
        <f>IF($D64="","",AVERAGE(VLOOKUP($D64,Listas!$K$1:$S$6,9,0),(VLOOKUP($E64,Listas!$L$1:$S$6,8,0))))</f>
        <v/>
      </c>
      <c r="G64" s="3"/>
      <c r="H64" s="3" t="str">
        <f>IF($G64="","",(AVERAGE(VLOOKUP($G64,Listas!$M$1:$S$6,7,0))))</f>
        <v/>
      </c>
      <c r="I64" s="3" t="str">
        <f t="shared" si="2"/>
        <v/>
      </c>
      <c r="J64" s="3"/>
    </row>
    <row r="65" spans="1:10" ht="15" customHeight="1" x14ac:dyDescent="0.2">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ref="I68:I103" si="3">IF($D68="","",$F68*$H68)</f>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3"/>
        <v/>
      </c>
      <c r="J69" s="3"/>
    </row>
    <row r="70" spans="1:10" ht="14.25" customHeight="1" x14ac:dyDescent="0.2">
      <c r="A70" s="3"/>
      <c r="B70" s="3"/>
      <c r="C70" s="3"/>
      <c r="D70" s="3"/>
      <c r="E70" s="3"/>
      <c r="F70" s="3" t="str">
        <f>IF($D70="","",AVERAGE(VLOOKUP($D70,Listas!$K$1:$S$6,9,0),(VLOOKUP($E70,Listas!$L$1:$S$6,8,0))))</f>
        <v/>
      </c>
      <c r="G70" s="3"/>
      <c r="H70" s="3" t="str">
        <f>IF($G70="","",(AVERAGE(VLOOKUP($G70,Listas!$M$1:$S$6,7,0))))</f>
        <v/>
      </c>
      <c r="I70" s="3" t="str">
        <f t="shared" si="3"/>
        <v/>
      </c>
      <c r="J70" s="3"/>
    </row>
    <row r="71" spans="1:10" ht="14.25" customHeight="1" x14ac:dyDescent="0.2">
      <c r="A71" s="3"/>
      <c r="B71" s="3"/>
      <c r="C71" s="3"/>
      <c r="D71" s="3"/>
      <c r="E71" s="3"/>
      <c r="F71" s="3" t="str">
        <f>IF($D71="","",AVERAGE(VLOOKUP($D71,Listas!$K$1:$S$6,9,0),(VLOOKUP($E71,Listas!$L$1:$S$6,8,0))))</f>
        <v/>
      </c>
      <c r="G71" s="3"/>
      <c r="H71" s="3" t="str">
        <f>IF($G71="","",(AVERAGE(VLOOKUP($G71,Listas!$M$1:$S$6,7,0))))</f>
        <v/>
      </c>
      <c r="I71" s="3" t="str">
        <f t="shared" si="3"/>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3"/>
        <v/>
      </c>
      <c r="J72" s="3"/>
    </row>
    <row r="73" spans="1:10" ht="14.25" customHeight="1" x14ac:dyDescent="0.2">
      <c r="A73" s="3"/>
      <c r="B73" s="3"/>
      <c r="C73" s="3"/>
      <c r="D73" s="3"/>
      <c r="E73" s="3"/>
      <c r="F73" s="3" t="str">
        <f>IF($D73="","",AVERAGE(VLOOKUP($D73,Listas!$K$1:$S$6,9,0),(VLOOKUP($E73,Listas!$L$1:$S$6,8,0))))</f>
        <v/>
      </c>
      <c r="G73" s="3"/>
      <c r="H73" s="3" t="str">
        <f>IF($G73="","",(AVERAGE(VLOOKUP($G73,Listas!$M$1:$S$6,7,0))))</f>
        <v/>
      </c>
      <c r="I73" s="3" t="str">
        <f t="shared" si="3"/>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3"/>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3"/>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si="3"/>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x14ac:dyDescent="0.2">
      <c r="A101" s="3"/>
      <c r="B101" s="3"/>
      <c r="C101" s="3"/>
      <c r="D101" s="3"/>
      <c r="E101" s="3"/>
      <c r="F101" s="3" t="str">
        <f>IF($D101="","",AVERAGE(VLOOKUP($D101,Listas!$K$1:$S$6,9,0),(VLOOKUP($E101,Listas!$L$1:$S$6,8,0))))</f>
        <v/>
      </c>
      <c r="G101" s="3"/>
      <c r="H101" s="3" t="str">
        <f>IF($G101="","",(AVERAGE(VLOOKUP($G101,Listas!$M$1:$S$6,7,0))))</f>
        <v/>
      </c>
      <c r="I101" s="3" t="str">
        <f t="shared" si="3"/>
        <v/>
      </c>
      <c r="J101" s="3"/>
    </row>
    <row r="102" spans="1:10" x14ac:dyDescent="0.2">
      <c r="A102" s="3"/>
      <c r="B102" s="3"/>
      <c r="C102" s="3"/>
      <c r="D102" s="3"/>
      <c r="E102" s="3"/>
      <c r="F102" s="3" t="str">
        <f>IF($D102="","",AVERAGE(VLOOKUP($D102,Listas!$K$1:$S$6,9,0),(VLOOKUP($E102,Listas!$L$1:$S$6,8,0))))</f>
        <v/>
      </c>
      <c r="G102" s="3"/>
      <c r="H102" s="3" t="str">
        <f>IF($G102="","",(AVERAGE(VLOOKUP($G102,Listas!$M$1:$S$6,7,0))))</f>
        <v/>
      </c>
      <c r="I102" s="3" t="str">
        <f t="shared" si="3"/>
        <v/>
      </c>
      <c r="J102" s="3"/>
    </row>
    <row r="103" spans="1:10" ht="44.25" customHeight="1" x14ac:dyDescent="0.2">
      <c r="A103" s="3"/>
      <c r="B103" s="3"/>
      <c r="C103" s="3"/>
      <c r="D103" s="3"/>
      <c r="E103" s="3"/>
      <c r="F103" s="3" t="str">
        <f>IF($D103="","",AVERAGE(VLOOKUP($D103,Listas!$K$1:$S$6,9,0),(VLOOKUP($E103,Listas!$L$1:$S$6,8,0))))</f>
        <v/>
      </c>
      <c r="G103" s="3"/>
      <c r="H103" s="3" t="str">
        <f>IF($G103="","",(AVERAGE(VLOOKUP($G103,Listas!$M$1:$S$6,7,0))))</f>
        <v/>
      </c>
      <c r="I103" s="3" t="str">
        <f t="shared" si="3"/>
        <v/>
      </c>
      <c r="J103" s="3"/>
    </row>
    <row r="104" spans="1:10" x14ac:dyDescent="0.2">
      <c r="A104" s="3"/>
      <c r="B104" s="3"/>
      <c r="C104" s="3"/>
      <c r="D104" s="3"/>
      <c r="E104" s="3"/>
      <c r="F104" s="3"/>
      <c r="G104" s="3"/>
      <c r="H104" s="3"/>
      <c r="I104" s="3"/>
      <c r="J104" s="3"/>
    </row>
    <row r="105" spans="1:10" x14ac:dyDescent="0.2">
      <c r="A105" s="3"/>
      <c r="B105" s="3"/>
      <c r="C105" s="3"/>
      <c r="D105" s="3"/>
      <c r="E105" s="3"/>
      <c r="F105" s="3"/>
      <c r="G105" s="3"/>
      <c r="H105" s="3"/>
      <c r="I105" s="3"/>
      <c r="J105" s="3"/>
    </row>
    <row r="106" spans="1:10" x14ac:dyDescent="0.2">
      <c r="A106" s="3"/>
      <c r="B106" s="3"/>
      <c r="C106" s="3"/>
      <c r="D106" s="3"/>
      <c r="E106" s="3"/>
      <c r="F106" s="3"/>
      <c r="G106" s="3"/>
      <c r="H106" s="3"/>
      <c r="I106" s="3"/>
      <c r="J106" s="3"/>
    </row>
    <row r="107" spans="1:10" x14ac:dyDescent="0.2">
      <c r="A107" s="3"/>
      <c r="B107" s="3"/>
      <c r="C107" s="3"/>
      <c r="D107" s="3"/>
      <c r="E107" s="3"/>
      <c r="F107" s="3"/>
      <c r="G107" s="3"/>
      <c r="H107" s="3"/>
      <c r="I107" s="3"/>
      <c r="J107" s="3"/>
    </row>
    <row r="108" spans="1:10" x14ac:dyDescent="0.2">
      <c r="A108" s="3"/>
      <c r="B108" s="3"/>
      <c r="C108" s="3"/>
      <c r="D108" s="3"/>
      <c r="E108" s="3"/>
      <c r="F108" s="3"/>
      <c r="G108" s="3"/>
      <c r="H108" s="3"/>
      <c r="I108" s="3"/>
      <c r="J108" s="3"/>
    </row>
    <row r="109" spans="1:10" x14ac:dyDescent="0.2">
      <c r="A109" s="3"/>
      <c r="B109" s="3"/>
      <c r="C109" s="3"/>
      <c r="D109" s="3"/>
      <c r="E109" s="3"/>
      <c r="F109" s="3"/>
      <c r="G109" s="3"/>
      <c r="H109" s="3"/>
      <c r="I109" s="3"/>
      <c r="J109" s="3"/>
    </row>
    <row r="110" spans="1:10" x14ac:dyDescent="0.2">
      <c r="A110" s="3"/>
      <c r="B110" s="3"/>
      <c r="C110" s="3"/>
      <c r="D110" s="3"/>
      <c r="E110" s="3"/>
      <c r="F110" s="3"/>
      <c r="G110" s="3"/>
      <c r="H110" s="3"/>
      <c r="I110" s="3"/>
      <c r="J110" s="3"/>
    </row>
    <row r="111" spans="1:10" x14ac:dyDescent="0.2">
      <c r="A111" s="3"/>
      <c r="B111" s="3"/>
      <c r="C111" s="3"/>
      <c r="D111" s="3"/>
      <c r="E111" s="3"/>
      <c r="F111" s="3"/>
      <c r="G111" s="3"/>
      <c r="H111" s="3"/>
      <c r="I111" s="3"/>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row r="425" spans="1:10" x14ac:dyDescent="0.2">
      <c r="A425" s="3"/>
      <c r="B425" s="3"/>
      <c r="C425" s="3"/>
      <c r="D425" s="3"/>
      <c r="E425" s="3"/>
      <c r="F425" s="3"/>
      <c r="G425" s="3"/>
      <c r="H425" s="3"/>
      <c r="I425" s="3"/>
      <c r="J425" s="3"/>
    </row>
  </sheetData>
  <sheetProtection formatCells="0" formatColumns="0" formatRows="0" insertRows="0" deleteRows="0" selectLockedCells="1" sort="0" autoFilter="0"/>
  <autoFilter ref="A6:O103" xr:uid="{00000000-0009-0000-0000-000002000000}"/>
  <mergeCells count="14">
    <mergeCell ref="R5:S5"/>
    <mergeCell ref="D2:R4"/>
    <mergeCell ref="A2:C4"/>
    <mergeCell ref="P5:Q5"/>
    <mergeCell ref="L5:M5"/>
    <mergeCell ref="N5:O5"/>
    <mergeCell ref="H5:H6"/>
    <mergeCell ref="I5:I6"/>
    <mergeCell ref="K5:K6"/>
    <mergeCell ref="F5:F6"/>
    <mergeCell ref="A5:A6"/>
    <mergeCell ref="B5:B6"/>
    <mergeCell ref="C5:C6"/>
    <mergeCell ref="D5:E5"/>
  </mergeCells>
  <conditionalFormatting sqref="I24:I30 K17:K18 I7:I18">
    <cfRule type="containsBlanks" priority="76" stopIfTrue="1">
      <formula>LEN(TRIM(I7))=0</formula>
    </cfRule>
  </conditionalFormatting>
  <conditionalFormatting sqref="K7:K16">
    <cfRule type="containsBlanks" priority="57" stopIfTrue="1">
      <formula>LEN(TRIM(K7))=0</formula>
    </cfRule>
  </conditionalFormatting>
  <conditionalFormatting sqref="I20">
    <cfRule type="containsBlanks" priority="41" stopIfTrue="1">
      <formula>LEN(TRIM(I20))=0</formula>
    </cfRule>
  </conditionalFormatting>
  <conditionalFormatting sqref="K8:K16">
    <cfRule type="containsBlanks" priority="22" stopIfTrue="1">
      <formula>LEN(TRIM(K8))=0</formula>
    </cfRule>
  </conditionalFormatting>
  <conditionalFormatting sqref="I8:I16">
    <cfRule type="containsBlanks" priority="17" stopIfTrue="1">
      <formula>LEN(TRIM(I8))=0</formula>
    </cfRule>
  </conditionalFormatting>
  <dataValidations count="5">
    <dataValidation type="list" allowBlank="1" showErrorMessage="1" errorTitle="Error" error="Please select an option from the drop down list." sqref="E19:E103" xr:uid="{00000000-0002-0000-0200-000000000000}">
      <formula1>Occurrences</formula1>
    </dataValidation>
    <dataValidation allowBlank="1" showErrorMessage="1" errorTitle="Error" error="Please select an option from the drop down list." sqref="E7:E18 F7:F103 H7:H103" xr:uid="{00000000-0002-0000-0200-000001000000}"/>
    <dataValidation type="list" allowBlank="1" showInputMessage="1" showErrorMessage="1" sqref="B7:B103" xr:uid="{00000000-0002-0000-0200-000002000000}">
      <formula1>Process</formula1>
    </dataValidation>
    <dataValidation type="list" allowBlank="1" showErrorMessage="1" errorTitle="Error" error="Please select an option from the drop down list." sqref="G7:G103" xr:uid="{00000000-0002-0000-0200-000003000000}">
      <formula1>Potential</formula1>
    </dataValidation>
    <dataValidation type="list" allowBlank="1" showErrorMessage="1" errorTitle="Error" error="Please select an option from the drop down list." sqref="D7:D103" xr:uid="{00000000-0002-0000-0200-000004000000}">
      <formula1>Likelihood</formula1>
    </dataValidation>
  </dataValidations>
  <pageMargins left="0.7" right="0.7" top="0.75" bottom="0.75" header="0.3" footer="0.3"/>
  <pageSetup paperSize="5" scale="45" orientation="landscape" r:id="rId1"/>
  <colBreaks count="1" manualBreakCount="1">
    <brk id="1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90" stopIfTrue="1" operator="between" id="{259731CE-DE80-4E06-9AB7-EC200BECEFF9}">
            <xm:f>Listas!$C$4</xm:f>
            <xm:f>Listas!$C$2</xm:f>
            <x14:dxf>
              <fill>
                <patternFill>
                  <bgColor rgb="FFFFFF00"/>
                </patternFill>
              </fill>
            </x14:dxf>
          </x14:cfRule>
          <xm:sqref>I24:I30 K17:K18 I7:I18</xm:sqref>
        </x14:conditionalFormatting>
        <x14:conditionalFormatting xmlns:xm="http://schemas.microsoft.com/office/excel/2006/main">
          <x14:cfRule type="expression" priority="89" stopIfTrue="1" id="{4FCA7998-6D93-416C-AC4D-7C3A0130D6F0}">
            <xm:f>$I8&lt;=Listas!$C$4</xm:f>
            <x14:dxf>
              <fill>
                <patternFill>
                  <bgColor theme="0" tint="-0.24994659260841701"/>
                </patternFill>
              </fill>
              <border>
                <left style="thin">
                  <color theme="0"/>
                </left>
                <right style="thin">
                  <color theme="0"/>
                </right>
                <top style="thin">
                  <color theme="0"/>
                </top>
                <bottom style="thin">
                  <color theme="0"/>
                </bottom>
              </border>
            </x14:dxf>
          </x14:cfRule>
          <xm:sqref>J24:K30 J8:J12 L8:L12</xm:sqref>
        </x14:conditionalFormatting>
        <x14:conditionalFormatting xmlns:xm="http://schemas.microsoft.com/office/excel/2006/main">
          <x14:cfRule type="cellIs" priority="80" stopIfTrue="1" operator="greaterThanOrEqual" id="{EBEAAEC9-CBDA-406F-BBCC-FF04E3EFF825}">
            <xm:f>Listas!$C$2</xm:f>
            <x14:dxf>
              <font>
                <color rgb="FFFFFF00"/>
              </font>
              <fill>
                <patternFill>
                  <bgColor rgb="FFFF0000"/>
                </patternFill>
              </fill>
            </x14:dxf>
          </x14:cfRule>
          <xm:sqref>I24:I30 K17:K18 I7:I18</xm:sqref>
        </x14:conditionalFormatting>
        <x14:conditionalFormatting xmlns:xm="http://schemas.microsoft.com/office/excel/2006/main">
          <x14:cfRule type="cellIs" priority="59" stopIfTrue="1" operator="between" id="{952B3CEC-7651-4AB1-9620-D09ED5E69B7D}">
            <xm:f>Listas!$C$4</xm:f>
            <xm:f>Listas!$C$2</xm:f>
            <x14:dxf>
              <fill>
                <patternFill>
                  <bgColor rgb="FFFFFF00"/>
                </patternFill>
              </fill>
            </x14:dxf>
          </x14:cfRule>
          <xm:sqref>K7:K16</xm:sqref>
        </x14:conditionalFormatting>
        <x14:conditionalFormatting xmlns:xm="http://schemas.microsoft.com/office/excel/2006/main">
          <x14:cfRule type="cellIs" priority="58" stopIfTrue="1" operator="greaterThanOrEqual" id="{A239035D-FC10-4DEB-BD9F-12E8D48A792D}">
            <xm:f>Listas!$C$2</xm:f>
            <x14:dxf>
              <font>
                <color rgb="FFFFFF00"/>
              </font>
              <fill>
                <patternFill>
                  <bgColor rgb="FFFF0000"/>
                </patternFill>
              </fill>
            </x14:dxf>
          </x14:cfRule>
          <xm:sqref>K7:K16</xm:sqref>
        </x14:conditionalFormatting>
        <x14:conditionalFormatting xmlns:xm="http://schemas.microsoft.com/office/excel/2006/main">
          <x14:cfRule type="cellIs" priority="44" stopIfTrue="1" operator="between" id="{90D32903-21E6-4D33-B957-79AFD1D90394}">
            <xm:f>Listas!$C$4</xm:f>
            <xm:f>Listas!$C$2</xm:f>
            <x14:dxf>
              <fill>
                <patternFill>
                  <bgColor rgb="FFFFFF00"/>
                </patternFill>
              </fill>
            </x14:dxf>
          </x14:cfRule>
          <xm:sqref>I20</xm:sqref>
        </x14:conditionalFormatting>
        <x14:conditionalFormatting xmlns:xm="http://schemas.microsoft.com/office/excel/2006/main">
          <x14:cfRule type="expression" priority="43" stopIfTrue="1" id="{D84D6332-EC5F-4F0B-BD96-B98B21469A88}">
            <xm:f>$I20&lt;=Listas!$C$4</xm:f>
            <x14:dxf>
              <fill>
                <patternFill>
                  <bgColor theme="0" tint="-0.24994659260841701"/>
                </patternFill>
              </fill>
              <border>
                <left style="thin">
                  <color theme="0"/>
                </left>
                <right style="thin">
                  <color theme="0"/>
                </right>
                <top style="thin">
                  <color theme="0"/>
                </top>
                <bottom style="thin">
                  <color theme="0"/>
                </bottom>
              </border>
            </x14:dxf>
          </x14:cfRule>
          <xm:sqref>J20:K20</xm:sqref>
        </x14:conditionalFormatting>
        <x14:conditionalFormatting xmlns:xm="http://schemas.microsoft.com/office/excel/2006/main">
          <x14:cfRule type="cellIs" priority="42" stopIfTrue="1" operator="greaterThanOrEqual" id="{EFBE08C5-BDC2-42AA-AED7-A89B592AA036}">
            <xm:f>Listas!$C$2</xm:f>
            <x14:dxf>
              <font>
                <color rgb="FFFFFF00"/>
              </font>
              <fill>
                <patternFill>
                  <bgColor rgb="FFFF0000"/>
                </patternFill>
              </fill>
            </x14:dxf>
          </x14:cfRule>
          <xm:sqref>I20</xm:sqref>
        </x14:conditionalFormatting>
        <x14:conditionalFormatting xmlns:xm="http://schemas.microsoft.com/office/excel/2006/main">
          <x14:cfRule type="cellIs" priority="24" stopIfTrue="1" operator="between" id="{049EBB97-B41D-4688-BE89-53304B0E980D}">
            <xm:f>Listas!$C$4</xm:f>
            <xm:f>Listas!$C$2</xm:f>
            <x14:dxf>
              <fill>
                <patternFill>
                  <bgColor rgb="FFFFFF00"/>
                </patternFill>
              </fill>
            </x14:dxf>
          </x14:cfRule>
          <xm:sqref>K8:K16</xm:sqref>
        </x14:conditionalFormatting>
        <x14:conditionalFormatting xmlns:xm="http://schemas.microsoft.com/office/excel/2006/main">
          <x14:cfRule type="cellIs" priority="23" stopIfTrue="1" operator="greaterThanOrEqual" id="{B18348DE-F4EE-47F3-97D6-D5110505D5B5}">
            <xm:f>Listas!$C$2</xm:f>
            <x14:dxf>
              <font>
                <color rgb="FFFFFF00"/>
              </font>
              <fill>
                <patternFill>
                  <bgColor rgb="FFFF0000"/>
                </patternFill>
              </fill>
            </x14:dxf>
          </x14:cfRule>
          <xm:sqref>K8:K16</xm:sqref>
        </x14:conditionalFormatting>
        <x14:conditionalFormatting xmlns:xm="http://schemas.microsoft.com/office/excel/2006/main">
          <x14:cfRule type="expression" priority="21" stopIfTrue="1" id="{44787E3A-CB3C-48E4-B0FF-7D00568C0ABE}">
            <xm:f>$I8&lt;=Listas!$C$4</xm:f>
            <x14:dxf>
              <fill>
                <patternFill>
                  <bgColor theme="0" tint="-0.24994659260841701"/>
                </patternFill>
              </fill>
              <border>
                <left style="thin">
                  <color theme="0"/>
                </left>
                <right style="thin">
                  <color theme="0"/>
                </right>
                <top style="thin">
                  <color theme="0"/>
                </top>
                <bottom style="thin">
                  <color theme="0"/>
                </bottom>
              </border>
            </x14:dxf>
          </x14:cfRule>
          <xm:sqref>P8:P12</xm:sqref>
        </x14:conditionalFormatting>
        <x14:conditionalFormatting xmlns:xm="http://schemas.microsoft.com/office/excel/2006/main">
          <x14:cfRule type="cellIs" priority="19" stopIfTrue="1" operator="between" id="{46C68C0C-8349-4A61-A031-A0093CB32B8E}">
            <xm:f>Listas!$C$4</xm:f>
            <xm:f>Listas!$C$2</xm:f>
            <x14:dxf>
              <fill>
                <patternFill>
                  <bgColor rgb="FFFFFF00"/>
                </patternFill>
              </fill>
            </x14:dxf>
          </x14:cfRule>
          <xm:sqref>I8:I16</xm:sqref>
        </x14:conditionalFormatting>
        <x14:conditionalFormatting xmlns:xm="http://schemas.microsoft.com/office/excel/2006/main">
          <x14:cfRule type="cellIs" priority="18" stopIfTrue="1" operator="greaterThanOrEqual" id="{FCF817A6-8868-4655-BB8B-5E6AFE7305BE}">
            <xm:f>Listas!$C$2</xm:f>
            <x14:dxf>
              <font>
                <color rgb="FFFFFF00"/>
              </font>
              <fill>
                <patternFill>
                  <bgColor rgb="FFFF0000"/>
                </patternFill>
              </fill>
            </x14:dxf>
          </x14:cfRule>
          <xm:sqref>I8:I16</xm:sqref>
        </x14:conditionalFormatting>
        <x14:conditionalFormatting xmlns:xm="http://schemas.microsoft.com/office/excel/2006/main">
          <x14:cfRule type="expression" priority="4" stopIfTrue="1" id="{AEDAF991-3BBF-48F7-A3B3-7DA710A892E4}">
            <xm:f>$I13&lt;=Listas!$C$4</xm:f>
            <x14:dxf>
              <fill>
                <patternFill>
                  <bgColor theme="0" tint="-0.24994659260841701"/>
                </patternFill>
              </fill>
              <border>
                <left style="thin">
                  <color theme="0"/>
                </left>
                <right style="thin">
                  <color theme="0"/>
                </right>
                <top style="thin">
                  <color theme="0"/>
                </top>
                <bottom style="thin">
                  <color theme="0"/>
                </bottom>
              </border>
            </x14:dxf>
          </x14:cfRule>
          <xm:sqref>L13</xm:sqref>
        </x14:conditionalFormatting>
        <x14:conditionalFormatting xmlns:xm="http://schemas.microsoft.com/office/excel/2006/main">
          <x14:cfRule type="expression" priority="1" stopIfTrue="1" id="{49DACFDA-0406-4C7F-96CB-CFD1986872AC}">
            <xm:f>$I8&lt;=Listas!$C$4</xm:f>
            <x14:dxf>
              <fill>
                <patternFill>
                  <bgColor theme="0" tint="-0.24994659260841701"/>
                </patternFill>
              </fill>
              <border>
                <left style="thin">
                  <color theme="0"/>
                </left>
                <right style="thin">
                  <color theme="0"/>
                </right>
                <top style="thin">
                  <color theme="0"/>
                </top>
                <bottom style="thin">
                  <color theme="0"/>
                </bottom>
              </border>
            </x14:dxf>
          </x14:cfRule>
          <xm:sqref>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1" bestFit="1" customWidth="1"/>
    <col min="7" max="7" width="19.28515625" customWidth="1"/>
    <col min="8" max="8" width="3.85546875" style="77" bestFit="1" customWidth="1"/>
    <col min="9" max="9" width="19.28515625" customWidth="1"/>
    <col min="10" max="10" width="7.85546875" style="77" bestFit="1" customWidth="1"/>
    <col min="11" max="11" width="19.28515625" hidden="1" customWidth="1"/>
    <col min="12" max="12" width="3.85546875" style="76"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1" bestFit="1" customWidth="1"/>
    <col min="30" max="30" width="16.140625" style="71" bestFit="1" customWidth="1"/>
    <col min="31" max="31" width="12.85546875" style="71"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8" customFormat="1" ht="30" customHeight="1" x14ac:dyDescent="0.25">
      <c r="A1" s="151" t="s">
        <v>19</v>
      </c>
      <c r="B1" s="147" t="s">
        <v>90</v>
      </c>
      <c r="C1" s="88"/>
      <c r="D1" s="147" t="s">
        <v>92</v>
      </c>
      <c r="E1" s="154" t="s">
        <v>91</v>
      </c>
      <c r="F1" s="155"/>
      <c r="G1" s="155"/>
      <c r="H1" s="155"/>
      <c r="I1" s="155"/>
      <c r="J1" s="155"/>
      <c r="K1" s="155"/>
      <c r="L1" s="155"/>
      <c r="M1" s="155"/>
      <c r="N1" s="155"/>
      <c r="O1" s="155"/>
      <c r="P1" s="155"/>
      <c r="Q1" s="155"/>
      <c r="R1" s="155"/>
      <c r="S1" s="155"/>
      <c r="T1" s="155"/>
      <c r="U1" s="155"/>
      <c r="V1" s="155"/>
      <c r="W1" s="155"/>
      <c r="X1" s="155"/>
      <c r="Y1" s="155"/>
      <c r="Z1" s="155"/>
      <c r="AA1" s="155"/>
      <c r="AB1" s="155"/>
      <c r="AC1" s="147" t="s">
        <v>93</v>
      </c>
      <c r="AD1" s="147" t="s">
        <v>94</v>
      </c>
      <c r="AE1" s="147" t="s">
        <v>95</v>
      </c>
    </row>
    <row r="2" spans="1:31" s="78" customFormat="1" x14ac:dyDescent="0.25">
      <c r="A2" s="152"/>
      <c r="B2" s="148"/>
      <c r="C2" s="89"/>
      <c r="D2" s="148"/>
      <c r="E2" s="150" t="s">
        <v>143</v>
      </c>
      <c r="F2" s="150"/>
      <c r="G2" s="150" t="s">
        <v>146</v>
      </c>
      <c r="H2" s="150"/>
      <c r="I2" s="150" t="s">
        <v>147</v>
      </c>
      <c r="J2" s="150"/>
      <c r="K2" s="150" t="s">
        <v>148</v>
      </c>
      <c r="L2" s="150"/>
      <c r="M2" s="150" t="s">
        <v>149</v>
      </c>
      <c r="N2" s="150"/>
      <c r="O2" s="150" t="s">
        <v>150</v>
      </c>
      <c r="P2" s="150"/>
      <c r="Q2" s="150" t="s">
        <v>151</v>
      </c>
      <c r="R2" s="150"/>
      <c r="S2" s="150" t="s">
        <v>152</v>
      </c>
      <c r="T2" s="150"/>
      <c r="U2" s="150" t="s">
        <v>153</v>
      </c>
      <c r="V2" s="150"/>
      <c r="W2" s="150" t="s">
        <v>154</v>
      </c>
      <c r="X2" s="150"/>
      <c r="Y2" s="150" t="s">
        <v>155</v>
      </c>
      <c r="Z2" s="150"/>
      <c r="AA2" s="150" t="s">
        <v>156</v>
      </c>
      <c r="AB2" s="150"/>
      <c r="AC2" s="148"/>
      <c r="AD2" s="148"/>
      <c r="AE2" s="148"/>
    </row>
    <row r="3" spans="1:31" s="78" customFormat="1" ht="63" customHeight="1" x14ac:dyDescent="0.25">
      <c r="A3" s="153"/>
      <c r="B3" s="149"/>
      <c r="C3" s="90" t="s">
        <v>191</v>
      </c>
      <c r="D3" s="149"/>
      <c r="E3" s="79" t="s">
        <v>144</v>
      </c>
      <c r="F3" s="80" t="s">
        <v>145</v>
      </c>
      <c r="G3" s="79" t="s">
        <v>144</v>
      </c>
      <c r="H3" s="80" t="s">
        <v>145</v>
      </c>
      <c r="I3" s="79" t="s">
        <v>144</v>
      </c>
      <c r="J3" s="80" t="s">
        <v>145</v>
      </c>
      <c r="K3" s="79" t="s">
        <v>144</v>
      </c>
      <c r="L3" s="80" t="s">
        <v>145</v>
      </c>
      <c r="M3" s="79" t="s">
        <v>144</v>
      </c>
      <c r="N3" s="80" t="s">
        <v>145</v>
      </c>
      <c r="O3" s="79" t="s">
        <v>144</v>
      </c>
      <c r="P3" s="80" t="s">
        <v>145</v>
      </c>
      <c r="Q3" s="79" t="s">
        <v>144</v>
      </c>
      <c r="R3" s="80" t="s">
        <v>145</v>
      </c>
      <c r="S3" s="79" t="s">
        <v>144</v>
      </c>
      <c r="T3" s="80" t="s">
        <v>145</v>
      </c>
      <c r="U3" s="79" t="s">
        <v>144</v>
      </c>
      <c r="V3" s="80" t="s">
        <v>145</v>
      </c>
      <c r="W3" s="79" t="s">
        <v>144</v>
      </c>
      <c r="X3" s="80" t="s">
        <v>145</v>
      </c>
      <c r="Y3" s="79" t="s">
        <v>144</v>
      </c>
      <c r="Z3" s="80" t="s">
        <v>145</v>
      </c>
      <c r="AA3" s="79" t="s">
        <v>144</v>
      </c>
      <c r="AB3" s="80" t="s">
        <v>145</v>
      </c>
      <c r="AC3" s="149"/>
      <c r="AD3" s="149"/>
      <c r="AE3" s="149"/>
    </row>
    <row r="4" spans="1:31" ht="114.75" customHeight="1" x14ac:dyDescent="0.25">
      <c r="A4" s="58" t="str">
        <f>Riesgos!C7</f>
        <v>Modificar los perfiles del cargo para beneficiar a un ciudadano</v>
      </c>
      <c r="B4" s="73">
        <f>Riesgos!I7</f>
        <v>4</v>
      </c>
      <c r="C4" s="58" t="str">
        <f>Riesgos!J7</f>
        <v>1. Aprobacion del manual de funciones con sus respectivos perfiles 2. Formalizar  con acto administrativo la adopacion del manual  de funciones de la entidad 3. publicacion del manual de funcione al sitio web de la entidad</v>
      </c>
      <c r="D4" s="115">
        <v>3</v>
      </c>
      <c r="E4" s="81" t="s">
        <v>134</v>
      </c>
      <c r="F4" s="72">
        <f>+IF(E4="","",(LOOKUP(E4,CriterioControl,CriteriosControles!$B$2:$B$15)))</f>
        <v>5</v>
      </c>
      <c r="G4" s="81" t="s">
        <v>134</v>
      </c>
      <c r="H4" s="72">
        <f>+IF(G4="","",(LOOKUP(G4,CriterioControl,CriteriosControles!$B$2:$B$15)))</f>
        <v>5</v>
      </c>
      <c r="I4" s="81" t="s">
        <v>135</v>
      </c>
      <c r="J4" s="72">
        <f>+IF(I4="","",(LOOKUP(I4,CriterioControl,CriteriosControles!$B$2:$B$15)))</f>
        <v>1</v>
      </c>
      <c r="K4" s="81"/>
      <c r="L4" s="72"/>
      <c r="M4" s="81"/>
      <c r="N4" s="72"/>
      <c r="O4" s="73"/>
      <c r="P4" s="72"/>
      <c r="Q4" s="73"/>
      <c r="R4" s="72"/>
      <c r="S4" s="73"/>
      <c r="T4" s="72"/>
      <c r="U4" s="73"/>
      <c r="V4" s="72"/>
      <c r="W4" s="73"/>
      <c r="X4" s="72"/>
      <c r="Y4" s="73"/>
      <c r="Z4" s="72"/>
      <c r="AA4" s="73"/>
      <c r="AB4" s="72"/>
      <c r="AC4" s="74">
        <f t="shared" ref="AC4:AC14" si="0">(SUM(F4:AB4)/(D4*5))</f>
        <v>0.73333333333333328</v>
      </c>
      <c r="AD4" s="74">
        <f t="shared" ref="AD4:AD16" si="1">1-AC4</f>
        <v>0.26666666666666672</v>
      </c>
      <c r="AE4" s="75">
        <f t="shared" ref="AE4:AE14" si="2">B4*AD4</f>
        <v>1.0666666666666669</v>
      </c>
    </row>
    <row r="5" spans="1:31" ht="156" customHeight="1" x14ac:dyDescent="0.25">
      <c r="A5" s="58" t="str">
        <f>Riesgos!C8</f>
        <v xml:space="preserve">Posibilidad  de modificar  los requerimientos de contratacion </v>
      </c>
      <c r="B5" s="73">
        <f>Riesgos!I8</f>
        <v>9</v>
      </c>
      <c r="C5" s="58" t="str">
        <f>Riesgos!J8</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2">
        <v>4</v>
      </c>
      <c r="E5" s="81" t="s">
        <v>134</v>
      </c>
      <c r="F5" s="72">
        <f>+IF(E5="","",(LOOKUP(E5,CriterioControl,CriteriosControles!$B$2:$B$15)))</f>
        <v>5</v>
      </c>
      <c r="G5" s="81" t="s">
        <v>137</v>
      </c>
      <c r="H5" s="72">
        <f>+IF(G5="","",(LOOKUP(G5,CriterioControl,CriteriosControles!$B$2:$B$15)))</f>
        <v>3</v>
      </c>
      <c r="I5" s="81" t="s">
        <v>142</v>
      </c>
      <c r="J5" s="72">
        <f>+IF(I5="","",(LOOKUP(I5,CriterioControl,CriteriosControles!$B$2:$B$15)))</f>
        <v>3</v>
      </c>
      <c r="K5" s="81"/>
      <c r="L5" s="72"/>
      <c r="M5" s="81"/>
      <c r="N5" s="72"/>
      <c r="O5" s="73"/>
      <c r="P5" s="72"/>
      <c r="Q5" s="73"/>
      <c r="R5" s="72"/>
      <c r="S5" s="73"/>
      <c r="T5" s="72"/>
      <c r="U5" s="73"/>
      <c r="V5" s="72"/>
      <c r="W5" s="73"/>
      <c r="X5" s="72"/>
      <c r="Y5" s="73"/>
      <c r="Z5" s="72"/>
      <c r="AA5" s="73"/>
      <c r="AB5" s="72"/>
      <c r="AC5" s="74">
        <f t="shared" si="0"/>
        <v>0.55000000000000004</v>
      </c>
      <c r="AD5" s="74">
        <f t="shared" si="1"/>
        <v>0.44999999999999996</v>
      </c>
      <c r="AE5" s="75">
        <f t="shared" si="2"/>
        <v>4.05</v>
      </c>
    </row>
    <row r="6" spans="1:31" ht="140.25" x14ac:dyDescent="0.25">
      <c r="A6" s="58" t="str">
        <f>Riesgos!C9</f>
        <v>Destrucción o Alteración de los documentos) de los expedientes disponibles en los
archivos de gestión por parte de terceros con la ayuda de los administradores de archivo de la
dependencia.</v>
      </c>
      <c r="B6" s="73">
        <f>Riesgos!I9</f>
        <v>6</v>
      </c>
      <c r="C6" s="58" t="str">
        <f>Riesgos!J9</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2">
        <v>3</v>
      </c>
      <c r="E6" s="81" t="s">
        <v>138</v>
      </c>
      <c r="F6" s="72">
        <f>+IF(E6="","",(LOOKUP(E6,CriterioControl,CriteriosControles!$B$2:$B$15)))</f>
        <v>4</v>
      </c>
      <c r="G6" s="81" t="s">
        <v>137</v>
      </c>
      <c r="H6" s="72">
        <f>+IF(G6="","",(LOOKUP(G6,CriterioControl,CriteriosControles!$B$2:$B$15)))</f>
        <v>3</v>
      </c>
      <c r="I6" s="81" t="s">
        <v>134</v>
      </c>
      <c r="J6" s="72">
        <f>+IF(I6="","",(LOOKUP(I6,CriterioControl,CriteriosControles!$B$2:$B$15)))</f>
        <v>5</v>
      </c>
      <c r="K6" s="81"/>
      <c r="L6" s="72"/>
      <c r="M6" s="81"/>
      <c r="N6" s="72"/>
      <c r="O6" s="73"/>
      <c r="P6" s="72"/>
      <c r="Q6" s="73"/>
      <c r="R6" s="72"/>
      <c r="S6" s="73"/>
      <c r="T6" s="72"/>
      <c r="U6" s="73"/>
      <c r="V6" s="72"/>
      <c r="W6" s="73"/>
      <c r="X6" s="72"/>
      <c r="Y6" s="73"/>
      <c r="Z6" s="72"/>
      <c r="AA6" s="73"/>
      <c r="AB6" s="72"/>
      <c r="AC6" s="74">
        <f t="shared" si="0"/>
        <v>0.8</v>
      </c>
      <c r="AD6" s="74">
        <f t="shared" si="1"/>
        <v>0.19999999999999996</v>
      </c>
      <c r="AE6" s="75">
        <f t="shared" si="2"/>
        <v>1.1999999999999997</v>
      </c>
    </row>
    <row r="7" spans="1:31" ht="76.5" x14ac:dyDescent="0.25">
      <c r="A7" s="58" t="str">
        <f>Riesgos!C10</f>
        <v xml:space="preserve">Beneficios a proponente con la modificacion de los pliegos de contratacion </v>
      </c>
      <c r="B7" s="73">
        <f>Riesgos!I10</f>
        <v>6</v>
      </c>
      <c r="C7" s="58" t="str">
        <f>Riesgos!J10</f>
        <v xml:space="preserve">1. Manual de contratacion 2.  Publicacion del manual de contratacion en la pagina web  3. Rendicion de la informacion del proceso pre-contractual en los portales del SECOP </v>
      </c>
      <c r="D7" s="72">
        <v>3</v>
      </c>
      <c r="E7" s="81" t="s">
        <v>138</v>
      </c>
      <c r="F7" s="72">
        <f>+IF(E7="","",(LOOKUP(E7,CriterioControl,CriteriosControles!$B$2:$B$15)))</f>
        <v>4</v>
      </c>
      <c r="G7" s="81" t="s">
        <v>138</v>
      </c>
      <c r="H7" s="72">
        <f>+IF(G7="","",(LOOKUP(G7,CriterioControl,CriteriosControles!$B$2:$B$15)))</f>
        <v>4</v>
      </c>
      <c r="I7" s="81" t="s">
        <v>138</v>
      </c>
      <c r="J7" s="72">
        <f>+IF(I7="","",(LOOKUP(I7,CriterioControl,CriteriosControles!$B$2:$B$15)))</f>
        <v>4</v>
      </c>
      <c r="K7" s="81"/>
      <c r="L7" s="72" t="str">
        <f>+IF(K7="","",(LOOKUP(K7,CriterioControl,CriteriosControles!$B$2:$B$15)))</f>
        <v/>
      </c>
      <c r="M7" s="81"/>
      <c r="N7" s="72" t="str">
        <f>+IF(M7="","",(LOOKUP(M7,CriterioControl,CriteriosControles!$B$2:$B$15)))</f>
        <v/>
      </c>
      <c r="O7" s="73"/>
      <c r="P7" s="72" t="str">
        <f>+IF(O7="","",(LOOKUP(O7,CriterioControl,CriteriosControles!$B$2:$B$15)))</f>
        <v/>
      </c>
      <c r="Q7" s="73"/>
      <c r="R7" s="72" t="str">
        <f>+IF(Q7="","",(LOOKUP(Q7,CriterioControl,CriteriosControles!$B$2:$B$15)))</f>
        <v/>
      </c>
      <c r="S7" s="73"/>
      <c r="T7" s="72" t="str">
        <f>+IF(S7="","",(LOOKUP(S7,CriterioControl,CriteriosControles!$B$2:$B$15)))</f>
        <v/>
      </c>
      <c r="U7" s="73"/>
      <c r="V7" s="72" t="str">
        <f>+IF(U7="","",(LOOKUP(U7,CriterioControl,CriteriosControles!$B$2:$B$15)))</f>
        <v/>
      </c>
      <c r="W7" s="73"/>
      <c r="X7" s="72" t="str">
        <f>+IF(W7="","",(LOOKUP(W7,CriterioControl,CriteriosControles!$B$2:$B$15)))</f>
        <v/>
      </c>
      <c r="Y7" s="73"/>
      <c r="Z7" s="72" t="str">
        <f>+IF(Y7="","",(LOOKUP(Y7,CriterioControl,CriteriosControles!$B$2:$B$15)))</f>
        <v/>
      </c>
      <c r="AA7" s="73"/>
      <c r="AB7" s="72" t="str">
        <f>+IF(AA7="","",(LOOKUP(AA7,CriterioControl,CriteriosControles!$B$2:$B$15)))</f>
        <v/>
      </c>
      <c r="AC7" s="74">
        <f t="shared" si="0"/>
        <v>0.8</v>
      </c>
      <c r="AD7" s="74">
        <f t="shared" si="1"/>
        <v>0.19999999999999996</v>
      </c>
      <c r="AE7" s="75">
        <f t="shared" si="2"/>
        <v>1.1999999999999997</v>
      </c>
    </row>
    <row r="8" spans="1:31" ht="127.5" x14ac:dyDescent="0.25">
      <c r="A8" s="114" t="str">
        <f>Riesgos!C11</f>
        <v>Posibilidad de alterar la asignación y destinación de recursos, en la toma de decisiones al ordenar el gasto, con el fin de favorecer un tercero</v>
      </c>
      <c r="B8" s="73">
        <f>Riesgos!I11</f>
        <v>8</v>
      </c>
      <c r="C8" s="58" t="str">
        <f>Riesgos!J11</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2">
        <v>3</v>
      </c>
      <c r="E8" s="81" t="s">
        <v>134</v>
      </c>
      <c r="F8" s="72">
        <f>+IF(E8="","",(LOOKUP(E8,CriterioControl,CriteriosControles!$B$2:$B$15)))</f>
        <v>5</v>
      </c>
      <c r="G8" s="81" t="s">
        <v>133</v>
      </c>
      <c r="H8" s="72">
        <f>+IF(G8="","",(LOOKUP(G8,CriterioControl,CriteriosControles!$B$2:$B$15)))</f>
        <v>4</v>
      </c>
      <c r="I8" s="81" t="s">
        <v>139</v>
      </c>
      <c r="J8" s="72">
        <f>+IF(I8="","",(LOOKUP(I8,CriterioControl,CriteriosControles!$B$2:$B$15)))</f>
        <v>1</v>
      </c>
      <c r="K8" s="81"/>
      <c r="L8" s="72" t="str">
        <f>+IF(K8="","",(LOOKUP(K8,CriterioControl,CriteriosControles!$B$2:$B$15)))</f>
        <v/>
      </c>
      <c r="M8" s="81"/>
      <c r="N8" s="72" t="str">
        <f>+IF(M8="","",(LOOKUP(M8,CriterioControl,CriteriosControles!$B$2:$B$15)))</f>
        <v/>
      </c>
      <c r="O8" s="73"/>
      <c r="P8" s="72" t="str">
        <f>+IF(O8="","",(LOOKUP(O8,CriterioControl,CriteriosControles!$B$2:$B$15)))</f>
        <v/>
      </c>
      <c r="Q8" s="73"/>
      <c r="R8" s="72" t="str">
        <f>+IF(Q8="","",(LOOKUP(Q8,CriterioControl,CriteriosControles!$B$2:$B$15)))</f>
        <v/>
      </c>
      <c r="S8" s="73"/>
      <c r="T8" s="72" t="str">
        <f>+IF(S8="","",(LOOKUP(S8,CriterioControl,CriteriosControles!$B$2:$B$15)))</f>
        <v/>
      </c>
      <c r="U8" s="73"/>
      <c r="V8" s="72" t="str">
        <f>+IF(U8="","",(LOOKUP(U8,CriterioControl,CriteriosControles!$B$2:$B$15)))</f>
        <v/>
      </c>
      <c r="W8" s="73"/>
      <c r="X8" s="72" t="str">
        <f>+IF(W8="","",(LOOKUP(W8,CriterioControl,CriteriosControles!$B$2:$B$15)))</f>
        <v/>
      </c>
      <c r="Y8" s="73"/>
      <c r="Z8" s="72" t="str">
        <f>+IF(Y8="","",(LOOKUP(Y8,CriterioControl,CriteriosControles!$B$2:$B$15)))</f>
        <v/>
      </c>
      <c r="AA8" s="73"/>
      <c r="AB8" s="72" t="str">
        <f>+IF(AA8="","",(LOOKUP(AA8,CriterioControl,CriteriosControles!$B$2:$B$15)))</f>
        <v/>
      </c>
      <c r="AC8" s="74">
        <f t="shared" si="0"/>
        <v>0.66666666666666663</v>
      </c>
      <c r="AD8" s="74">
        <f t="shared" si="1"/>
        <v>0.33333333333333337</v>
      </c>
      <c r="AE8" s="75">
        <f t="shared" si="2"/>
        <v>2.666666666666667</v>
      </c>
    </row>
    <row r="9" spans="1:31" ht="51" x14ac:dyDescent="0.25">
      <c r="A9" s="58" t="str">
        <f>Riesgos!C12</f>
        <v>Manipulacion de informes de auditoria para el favorecimiento a implicado</v>
      </c>
      <c r="B9" s="73">
        <f>Riesgos!I12</f>
        <v>6</v>
      </c>
      <c r="C9" s="58" t="str">
        <f>Riesgos!J12</f>
        <v>1. Socializar con los auditores internos Codigo de Etica del auditor  2. Sensibilizaciones con  el codigo de Integridad de la entidad.</v>
      </c>
      <c r="D9" s="72">
        <v>2</v>
      </c>
      <c r="E9" s="81" t="s">
        <v>138</v>
      </c>
      <c r="F9" s="72">
        <f>+IF(E9="","",(LOOKUP(E9,CriterioControl,CriteriosControles!$B$2:$B$15)))</f>
        <v>4</v>
      </c>
      <c r="G9" s="81" t="s">
        <v>138</v>
      </c>
      <c r="H9" s="72">
        <f>+IF(G9="","",(LOOKUP(G9,CriterioControl,CriteriosControles!$B$2:$B$15)))</f>
        <v>4</v>
      </c>
      <c r="I9" s="81"/>
      <c r="J9" s="72" t="str">
        <f>+IF(I9="","",(LOOKUP(I9,CriterioControl,CriteriosControles!$B$2:$B$15)))</f>
        <v/>
      </c>
      <c r="K9" s="81"/>
      <c r="L9" s="72" t="str">
        <f>+IF(K9="","",(LOOKUP(K9,CriterioControl,CriteriosControles!$B$2:$B$15)))</f>
        <v/>
      </c>
      <c r="M9" s="81"/>
      <c r="N9" s="72" t="str">
        <f>+IF(M9="","",(LOOKUP(M9,CriterioControl,CriteriosControles!$B$2:$B$15)))</f>
        <v/>
      </c>
      <c r="O9" s="73"/>
      <c r="P9" s="72" t="str">
        <f>+IF(O9="","",(LOOKUP(O9,CriterioControl,CriteriosControles!$B$2:$B$15)))</f>
        <v/>
      </c>
      <c r="Q9" s="73"/>
      <c r="R9" s="72" t="str">
        <f>+IF(Q9="","",(LOOKUP(Q9,CriterioControl,CriteriosControles!$B$2:$B$15)))</f>
        <v/>
      </c>
      <c r="S9" s="73"/>
      <c r="T9" s="72" t="str">
        <f>+IF(S9="","",(LOOKUP(S9,CriterioControl,CriteriosControles!$B$2:$B$15)))</f>
        <v/>
      </c>
      <c r="U9" s="73"/>
      <c r="V9" s="72" t="str">
        <f>+IF(U9="","",(LOOKUP(U9,CriterioControl,CriteriosControles!$B$2:$B$15)))</f>
        <v/>
      </c>
      <c r="W9" s="73"/>
      <c r="X9" s="72" t="str">
        <f>+IF(W9="","",(LOOKUP(W9,CriterioControl,CriteriosControles!$B$2:$B$15)))</f>
        <v/>
      </c>
      <c r="Y9" s="73"/>
      <c r="Z9" s="72" t="str">
        <f>+IF(Y9="","",(LOOKUP(Y9,CriterioControl,CriteriosControles!$B$2:$B$15)))</f>
        <v/>
      </c>
      <c r="AA9" s="73"/>
      <c r="AB9" s="72" t="str">
        <f>+IF(AA9="","",(LOOKUP(AA9,CriterioControl,CriteriosControles!$B$2:$B$15)))</f>
        <v/>
      </c>
      <c r="AC9" s="74">
        <f t="shared" si="0"/>
        <v>0.8</v>
      </c>
      <c r="AD9" s="74">
        <f t="shared" si="1"/>
        <v>0.19999999999999996</v>
      </c>
      <c r="AE9" s="75">
        <f t="shared" si="2"/>
        <v>1.1999999999999997</v>
      </c>
    </row>
    <row r="10" spans="1:31" ht="76.5" x14ac:dyDescent="0.25">
      <c r="A10" s="58" t="str">
        <f>Riesgos!C13</f>
        <v xml:space="preserve">Recibir beneficios economicos para agilizar o priorizar un servicio </v>
      </c>
      <c r="B10" s="73">
        <f>Riesgos!I13</f>
        <v>9</v>
      </c>
      <c r="C10" s="58" t="str">
        <f>Riesgos!J13</f>
        <v xml:space="preserve">1. Control de la plataforma  en las reservas  100%, donde  se le envia un informe de disponibilidad a los  enlaces responsables 2. Seguimiento a las PQRSD  presentadas por la comunidad </v>
      </c>
      <c r="D10" s="72">
        <v>2</v>
      </c>
      <c r="E10" s="81" t="s">
        <v>142</v>
      </c>
      <c r="F10" s="72">
        <f>+IF(E10="","",(LOOKUP(E10,CriterioControl,CriteriosControles!$B$2:$B$15)))</f>
        <v>3</v>
      </c>
      <c r="G10" s="81" t="s">
        <v>134</v>
      </c>
      <c r="H10" s="72">
        <f>+IF(G10="","",(LOOKUP(G10,CriterioControl,CriteriosControles!$B$2:$B$15)))</f>
        <v>5</v>
      </c>
      <c r="I10" s="81" t="s">
        <v>138</v>
      </c>
      <c r="J10" s="72">
        <f>+IF(I10="","",(LOOKUP(I10,CriterioControl,CriteriosControles!$B$2:$B$15)))</f>
        <v>4</v>
      </c>
      <c r="K10" s="81"/>
      <c r="L10" s="72" t="str">
        <f>+IF(K10="","",(LOOKUP(K10,CriterioControl,CriteriosControles!$B$2:$B$15)))</f>
        <v/>
      </c>
      <c r="M10" s="81"/>
      <c r="N10" s="72" t="str">
        <f>+IF(M10="","",(LOOKUP(M10,CriterioControl,CriteriosControles!$B$2:$B$15)))</f>
        <v/>
      </c>
      <c r="O10" s="73"/>
      <c r="P10" s="72" t="str">
        <f>+IF(O10="","",(LOOKUP(O10,CriterioControl,CriteriosControles!$B$2:$B$15)))</f>
        <v/>
      </c>
      <c r="Q10" s="73"/>
      <c r="R10" s="72" t="str">
        <f>+IF(Q10="","",(LOOKUP(Q10,CriterioControl,CriteriosControles!$B$2:$B$15)))</f>
        <v/>
      </c>
      <c r="S10" s="73"/>
      <c r="T10" s="72" t="str">
        <f>+IF(S10="","",(LOOKUP(S10,CriterioControl,CriteriosControles!$B$2:$B$15)))</f>
        <v/>
      </c>
      <c r="U10" s="73"/>
      <c r="V10" s="72" t="str">
        <f>+IF(U10="","",(LOOKUP(U10,CriterioControl,CriteriosControles!$B$2:$B$15)))</f>
        <v/>
      </c>
      <c r="W10" s="73"/>
      <c r="X10" s="72" t="str">
        <f>+IF(W10="","",(LOOKUP(W10,CriterioControl,CriteriosControles!$B$2:$B$15)))</f>
        <v/>
      </c>
      <c r="Y10" s="73"/>
      <c r="Z10" s="72" t="str">
        <f>+IF(Y10="","",(LOOKUP(Y10,CriterioControl,CriteriosControles!$B$2:$B$15)))</f>
        <v/>
      </c>
      <c r="AA10" s="73"/>
      <c r="AB10" s="72" t="str">
        <f>+IF(AA10="","",(LOOKUP(AA10,CriterioControl,CriteriosControles!$B$2:$B$15)))</f>
        <v/>
      </c>
      <c r="AC10" s="74">
        <f t="shared" si="0"/>
        <v>1.2</v>
      </c>
      <c r="AD10" s="74">
        <f t="shared" si="1"/>
        <v>-0.19999999999999996</v>
      </c>
      <c r="AE10" s="75">
        <f t="shared" si="2"/>
        <v>-1.7999999999999996</v>
      </c>
    </row>
    <row r="11" spans="1:31" ht="63.75" x14ac:dyDescent="0.25">
      <c r="A11" s="58" t="str">
        <f>Riesgos!C14</f>
        <v>Posibilidad de realizar indebida defensa  de procesos judiciales para favorecimiento de terceros, a cambio de una dadiva económica</v>
      </c>
      <c r="B11" s="73">
        <f>Riesgos!I14</f>
        <v>3</v>
      </c>
      <c r="C11" s="58" t="str">
        <f>Riesgos!J14</f>
        <v>1. Reunion del comité de conciliacion  para cada una de las actuaciones de los abogados litigantes o de los apoderados del proceso.</v>
      </c>
      <c r="D11" s="72">
        <v>1</v>
      </c>
      <c r="E11" s="81" t="s">
        <v>134</v>
      </c>
      <c r="F11" s="72">
        <f>+IF(E11="","",(LOOKUP(E11,CriterioControl,CriteriosControles!$B$2:$B$15)))</f>
        <v>5</v>
      </c>
      <c r="G11" s="81"/>
      <c r="H11" s="72" t="str">
        <f>+IF(G11="","",(LOOKUP(G11,CriterioControl,CriteriosControles!$B$2:$B$15)))</f>
        <v/>
      </c>
      <c r="I11" s="81"/>
      <c r="J11" s="72" t="str">
        <f>+IF(I11="","",(LOOKUP(I11,CriterioControl,CriteriosControles!$B$2:$B$15)))</f>
        <v/>
      </c>
      <c r="K11" s="81"/>
      <c r="L11" s="72" t="str">
        <f>+IF(K11="","",(LOOKUP(K11,CriterioControl,CriteriosControles!$B$2:$B$15)))</f>
        <v/>
      </c>
      <c r="M11" s="81"/>
      <c r="N11" s="72" t="str">
        <f>+IF(M11="","",(LOOKUP(M11,CriterioControl,CriteriosControles!$B$2:$B$15)))</f>
        <v/>
      </c>
      <c r="O11" s="73"/>
      <c r="P11" s="72" t="str">
        <f>+IF(O11="","",(LOOKUP(O11,CriterioControl,CriteriosControles!$B$2:$B$15)))</f>
        <v/>
      </c>
      <c r="Q11" s="73"/>
      <c r="R11" s="72" t="str">
        <f>+IF(Q11="","",(LOOKUP(Q11,CriterioControl,CriteriosControles!$B$2:$B$15)))</f>
        <v/>
      </c>
      <c r="S11" s="73"/>
      <c r="T11" s="72" t="str">
        <f>+IF(S11="","",(LOOKUP(S11,CriterioControl,CriteriosControles!$B$2:$B$15)))</f>
        <v/>
      </c>
      <c r="U11" s="73"/>
      <c r="V11" s="72" t="str">
        <f>+IF(U11="","",(LOOKUP(U11,CriterioControl,CriteriosControles!$B$2:$B$15)))</f>
        <v/>
      </c>
      <c r="W11" s="73"/>
      <c r="X11" s="72" t="str">
        <f>+IF(W11="","",(LOOKUP(W11,CriterioControl,CriteriosControles!$B$2:$B$15)))</f>
        <v/>
      </c>
      <c r="Y11" s="73"/>
      <c r="Z11" s="72" t="str">
        <f>+IF(Y11="","",(LOOKUP(Y11,CriterioControl,CriteriosControles!$B$2:$B$15)))</f>
        <v/>
      </c>
      <c r="AA11" s="73"/>
      <c r="AB11" s="72" t="str">
        <f>+IF(AA11="","",(LOOKUP(AA11,CriterioControl,CriteriosControles!$B$2:$B$15)))</f>
        <v/>
      </c>
      <c r="AC11" s="74">
        <f t="shared" si="0"/>
        <v>1</v>
      </c>
      <c r="AD11" s="74">
        <f t="shared" si="1"/>
        <v>0</v>
      </c>
      <c r="AE11" s="75">
        <f t="shared" si="2"/>
        <v>0</v>
      </c>
    </row>
    <row r="12" spans="1:31" ht="178.5" x14ac:dyDescent="0.25">
      <c r="A12" s="58" t="str">
        <f>Riesgos!C15</f>
        <v xml:space="preserve">Recibir beneficios economicos por parte de un contratista para agilizar procesos y autorizar  cantidades  adicionales no  aprobados en los contratos </v>
      </c>
      <c r="B12" s="73">
        <f>Riesgos!I15</f>
        <v>8</v>
      </c>
      <c r="C12" s="58" t="str">
        <f>Riesgos!J15</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2">
        <v>3</v>
      </c>
      <c r="E12" s="81" t="s">
        <v>134</v>
      </c>
      <c r="F12" s="72">
        <f>+IF(E12="","",(LOOKUP(E12,CriterioControl,CriteriosControles!$B$2:$B$15)))</f>
        <v>5</v>
      </c>
      <c r="G12" s="81" t="s">
        <v>138</v>
      </c>
      <c r="H12" s="72">
        <f>+IF(G12="","",(LOOKUP(G12,CriterioControl,CriteriosControles!$B$2:$B$15)))</f>
        <v>4</v>
      </c>
      <c r="I12" s="81" t="s">
        <v>138</v>
      </c>
      <c r="J12" s="72">
        <f>+IF(I12="","",(LOOKUP(I12,CriterioControl,CriteriosControles!$B$2:$B$15)))</f>
        <v>4</v>
      </c>
      <c r="K12" s="81"/>
      <c r="L12" s="72" t="str">
        <f>+IF(K12="","",(LOOKUP(K12,CriterioControl,CriteriosControles!$B$2:$B$15)))</f>
        <v/>
      </c>
      <c r="M12" s="81"/>
      <c r="N12" s="72" t="str">
        <f>+IF(M12="","",(LOOKUP(M12,CriterioControl,CriteriosControles!$B$2:$B$15)))</f>
        <v/>
      </c>
      <c r="O12" s="73"/>
      <c r="P12" s="72" t="str">
        <f>+IF(O12="","",(LOOKUP(O12,CriterioControl,CriteriosControles!$B$2:$B$15)))</f>
        <v/>
      </c>
      <c r="Q12" s="73"/>
      <c r="R12" s="72" t="str">
        <f>+IF(Q12="","",(LOOKUP(Q12,CriterioControl,CriteriosControles!$B$2:$B$15)))</f>
        <v/>
      </c>
      <c r="S12" s="73"/>
      <c r="T12" s="72" t="str">
        <f>+IF(S12="","",(LOOKUP(S12,CriterioControl,CriteriosControles!$B$2:$B$15)))</f>
        <v/>
      </c>
      <c r="U12" s="73"/>
      <c r="V12" s="72" t="str">
        <f>+IF(U12="","",(LOOKUP(U12,CriterioControl,CriteriosControles!$B$2:$B$15)))</f>
        <v/>
      </c>
      <c r="W12" s="73"/>
      <c r="X12" s="72" t="str">
        <f>+IF(W12="","",(LOOKUP(W12,CriterioControl,CriteriosControles!$B$2:$B$15)))</f>
        <v/>
      </c>
      <c r="Y12" s="73"/>
      <c r="Z12" s="72" t="str">
        <f>+IF(Y12="","",(LOOKUP(Y12,CriterioControl,CriteriosControles!$B$2:$B$15)))</f>
        <v/>
      </c>
      <c r="AA12" s="73"/>
      <c r="AB12" s="72" t="str">
        <f>+IF(AA12="","",(LOOKUP(AA12,CriterioControl,CriteriosControles!$B$2:$B$15)))</f>
        <v/>
      </c>
      <c r="AC12" s="74">
        <f t="shared" si="0"/>
        <v>0.8666666666666667</v>
      </c>
      <c r="AD12" s="74">
        <f t="shared" si="1"/>
        <v>0.1333333333333333</v>
      </c>
      <c r="AE12" s="75">
        <f t="shared" si="2"/>
        <v>1.0666666666666664</v>
      </c>
    </row>
    <row r="13" spans="1:31" ht="102" x14ac:dyDescent="0.25">
      <c r="A13" s="58" t="str">
        <f>Riesgos!C16</f>
        <v>Desviacion del recurso presupuestal   para el favorecimiento de los intereses propio</v>
      </c>
      <c r="B13" s="73">
        <f>Riesgos!I16</f>
        <v>4</v>
      </c>
      <c r="C13" s="58" t="str">
        <f>Riesgos!J16</f>
        <v xml:space="preserve">1. Aprobacion del presupuesto  por el consejo distrital y acto administrativo 2. Acto administrativo que  potiva y justifica los cambios de los rubros presupuestales 3.  Informe de ejecucion presupuestal reportada al SIA Observa, Contaduria General de la nacion </v>
      </c>
      <c r="D13" s="72">
        <v>3</v>
      </c>
      <c r="E13" s="81" t="s">
        <v>134</v>
      </c>
      <c r="F13" s="72">
        <f>+IF(E13="","",(LOOKUP(E13,CriterioControl,CriteriosControles!$B$2:$B$15)))</f>
        <v>5</v>
      </c>
      <c r="G13" s="81" t="s">
        <v>134</v>
      </c>
      <c r="H13" s="72">
        <f>+IF(G13="","",(LOOKUP(G13,CriterioControl,CriteriosControles!$B$2:$B$15)))</f>
        <v>5</v>
      </c>
      <c r="I13" s="81" t="s">
        <v>134</v>
      </c>
      <c r="J13" s="72">
        <f>+IF(I13="","",(LOOKUP(I13,CriterioControl,CriteriosControles!$B$2:$B$15)))</f>
        <v>5</v>
      </c>
      <c r="K13" s="81"/>
      <c r="L13" s="72" t="str">
        <f>+IF(K13="","",(LOOKUP(K13,CriterioControl,CriteriosControles!$B$2:$B$15)))</f>
        <v/>
      </c>
      <c r="M13" s="81"/>
      <c r="N13" s="72" t="str">
        <f>+IF(M13="","",(LOOKUP(M13,CriterioControl,CriteriosControles!$B$2:$B$15)))</f>
        <v/>
      </c>
      <c r="O13" s="73"/>
      <c r="P13" s="72" t="str">
        <f>+IF(O13="","",(LOOKUP(O13,CriterioControl,CriteriosControles!$B$2:$B$15)))</f>
        <v/>
      </c>
      <c r="Q13" s="73"/>
      <c r="R13" s="72" t="str">
        <f>+IF(Q13="","",(LOOKUP(Q13,CriterioControl,CriteriosControles!$B$2:$B$15)))</f>
        <v/>
      </c>
      <c r="S13" s="73"/>
      <c r="T13" s="72" t="str">
        <f>+IF(S13="","",(LOOKUP(S13,CriterioControl,CriteriosControles!$B$2:$B$15)))</f>
        <v/>
      </c>
      <c r="U13" s="73"/>
      <c r="V13" s="72" t="str">
        <f>+IF(U13="","",(LOOKUP(U13,CriterioControl,CriteriosControles!$B$2:$B$15)))</f>
        <v/>
      </c>
      <c r="W13" s="73"/>
      <c r="X13" s="72" t="str">
        <f>+IF(W13="","",(LOOKUP(W13,CriterioControl,CriteriosControles!$B$2:$B$15)))</f>
        <v/>
      </c>
      <c r="Y13" s="73"/>
      <c r="Z13" s="72" t="str">
        <f>+IF(Y13="","",(LOOKUP(Y13,CriterioControl,CriteriosControles!$B$2:$B$15)))</f>
        <v/>
      </c>
      <c r="AA13" s="73"/>
      <c r="AB13" s="72" t="str">
        <f>+IF(AA13="","",(LOOKUP(AA13,CriterioControl,CriteriosControles!$B$2:$B$15)))</f>
        <v/>
      </c>
      <c r="AC13" s="74">
        <f t="shared" si="0"/>
        <v>1</v>
      </c>
      <c r="AD13" s="74">
        <f t="shared" si="1"/>
        <v>0</v>
      </c>
      <c r="AE13" s="75">
        <f t="shared" si="2"/>
        <v>0</v>
      </c>
    </row>
    <row r="14" spans="1:31" x14ac:dyDescent="0.25">
      <c r="A14" s="58">
        <f>Riesgos!C17</f>
        <v>0</v>
      </c>
      <c r="B14" s="73">
        <f>Riesgos!I17</f>
        <v>0</v>
      </c>
      <c r="C14" s="58">
        <f>Riesgos!J17</f>
        <v>0</v>
      </c>
      <c r="D14" s="72"/>
      <c r="E14" s="81"/>
      <c r="F14" s="72" t="str">
        <f>+IF(E14="","",(LOOKUP(E14,CriterioControl,CriteriosControles!$B$2:$B$15)))</f>
        <v/>
      </c>
      <c r="G14" s="81"/>
      <c r="H14" s="72" t="str">
        <f>+IF(G14="","",(LOOKUP(G14,CriterioControl,CriteriosControles!$B$2:$B$15)))</f>
        <v/>
      </c>
      <c r="I14" s="81"/>
      <c r="J14" s="72" t="str">
        <f>+IF(I14="","",(LOOKUP(I14,CriterioControl,CriteriosControles!$B$2:$B$15)))</f>
        <v/>
      </c>
      <c r="K14" s="81"/>
      <c r="L14" s="72" t="str">
        <f>+IF(K14="","",(LOOKUP(K14,CriterioControl,CriteriosControles!$B$2:$B$15)))</f>
        <v/>
      </c>
      <c r="M14" s="81"/>
      <c r="N14" s="72" t="str">
        <f>+IF(M14="","",(LOOKUP(M14,CriterioControl,CriteriosControles!$B$2:$B$15)))</f>
        <v/>
      </c>
      <c r="O14" s="73"/>
      <c r="P14" s="72" t="str">
        <f>+IF(O14="","",(LOOKUP(O14,CriterioControl,CriteriosControles!$B$2:$B$15)))</f>
        <v/>
      </c>
      <c r="Q14" s="73"/>
      <c r="R14" s="72" t="str">
        <f>+IF(Q14="","",(LOOKUP(Q14,CriterioControl,CriteriosControles!$B$2:$B$15)))</f>
        <v/>
      </c>
      <c r="S14" s="73"/>
      <c r="T14" s="72" t="str">
        <f>+IF(S14="","",(LOOKUP(S14,CriterioControl,CriteriosControles!$B$2:$B$15)))</f>
        <v/>
      </c>
      <c r="U14" s="73"/>
      <c r="V14" s="72" t="str">
        <f>+IF(U14="","",(LOOKUP(U14,CriterioControl,CriteriosControles!$B$2:$B$15)))</f>
        <v/>
      </c>
      <c r="W14" s="73"/>
      <c r="X14" s="72" t="str">
        <f>+IF(W14="","",(LOOKUP(W14,CriterioControl,CriteriosControles!$B$2:$B$15)))</f>
        <v/>
      </c>
      <c r="Y14" s="73"/>
      <c r="Z14" s="72" t="str">
        <f>+IF(Y14="","",(LOOKUP(Y14,CriterioControl,CriteriosControles!$B$2:$B$15)))</f>
        <v/>
      </c>
      <c r="AA14" s="73"/>
      <c r="AB14" s="72" t="str">
        <f>+IF(AA14="","",(LOOKUP(AA14,CriterioControl,CriteriosControles!$B$2:$B$15)))</f>
        <v/>
      </c>
      <c r="AC14" s="74" t="e">
        <f t="shared" si="0"/>
        <v>#DIV/0!</v>
      </c>
      <c r="AD14" s="74" t="e">
        <f t="shared" si="1"/>
        <v>#DIV/0!</v>
      </c>
      <c r="AE14" s="75" t="e">
        <f t="shared" si="2"/>
        <v>#DIV/0!</v>
      </c>
    </row>
    <row r="15" spans="1:31" x14ac:dyDescent="0.25">
      <c r="A15" s="58"/>
      <c r="B15" s="73" t="e">
        <f>Riesgos!#REF!</f>
        <v>#REF!</v>
      </c>
      <c r="C15" s="73"/>
      <c r="D15" s="72"/>
      <c r="E15" s="81"/>
      <c r="F15" s="72" t="str">
        <f>+IF(E15="","",(LOOKUP(E15,CriterioControl,CriteriosControles!$B$2:$B$15)))</f>
        <v/>
      </c>
      <c r="G15" s="81"/>
      <c r="H15" s="72" t="str">
        <f>+IF(G15="","",(LOOKUP(G15,CriterioControl,CriteriosControles!$B$2:$B$15)))</f>
        <v/>
      </c>
      <c r="I15" s="81"/>
      <c r="J15" s="72" t="str">
        <f>+IF(I15="","",(LOOKUP(I15,CriterioControl,CriteriosControles!$B$2:$B$15)))</f>
        <v/>
      </c>
      <c r="K15" s="81"/>
      <c r="L15" s="72" t="str">
        <f>+IF(K15="","",(LOOKUP(K15,CriterioControl,CriteriosControles!$B$2:$B$15)))</f>
        <v/>
      </c>
      <c r="M15" s="81"/>
      <c r="N15" s="72" t="str">
        <f>+IF(M15="","",(LOOKUP(M15,CriterioControl,CriteriosControles!$B$2:$B$15)))</f>
        <v/>
      </c>
      <c r="O15" s="73"/>
      <c r="P15" s="72" t="str">
        <f>+IF(O15="","",(LOOKUP(O15,CriterioControl,CriteriosControles!$B$2:$B$15)))</f>
        <v/>
      </c>
      <c r="Q15" s="73"/>
      <c r="R15" s="72" t="str">
        <f>+IF(Q15="","",(LOOKUP(Q15,CriterioControl,CriteriosControles!$B$2:$B$15)))</f>
        <v/>
      </c>
      <c r="S15" s="73"/>
      <c r="T15" s="72" t="str">
        <f>+IF(S15="","",(LOOKUP(S15,CriterioControl,CriteriosControles!$B$2:$B$15)))</f>
        <v/>
      </c>
      <c r="U15" s="73"/>
      <c r="V15" s="72" t="str">
        <f>+IF(U15="","",(LOOKUP(U15,CriterioControl,CriteriosControles!$B$2:$B$15)))</f>
        <v/>
      </c>
      <c r="W15" s="73"/>
      <c r="X15" s="72" t="str">
        <f>+IF(W15="","",(LOOKUP(W15,CriterioControl,CriteriosControles!$B$2:$B$15)))</f>
        <v/>
      </c>
      <c r="Y15" s="73"/>
      <c r="Z15" s="72" t="str">
        <f>+IF(Y15="","",(LOOKUP(Y15,CriterioControl,CriteriosControles!$B$2:$B$15)))</f>
        <v/>
      </c>
      <c r="AA15" s="73"/>
      <c r="AB15" s="72" t="str">
        <f>+IF(AA15="","",(LOOKUP(AA15,CriterioControl,CriteriosControles!$B$2:$B$15)))</f>
        <v/>
      </c>
      <c r="AC15" s="74" t="e">
        <f t="shared" ref="AC15:AC23" si="3">(SUM(F15:AB15)/(D15*5))</f>
        <v>#DIV/0!</v>
      </c>
      <c r="AD15" s="74" t="e">
        <f t="shared" si="1"/>
        <v>#DIV/0!</v>
      </c>
      <c r="AE15" s="75" t="e">
        <f t="shared" ref="AE15:AE23" si="4">B15*AD15</f>
        <v>#REF!</v>
      </c>
    </row>
    <row r="16" spans="1:31" x14ac:dyDescent="0.25">
      <c r="A16" s="58"/>
      <c r="B16" s="73" t="e">
        <f>Riesgos!#REF!</f>
        <v>#REF!</v>
      </c>
      <c r="C16" s="73"/>
      <c r="D16" s="72"/>
      <c r="E16" s="81"/>
      <c r="F16" s="72" t="str">
        <f>+IF(E16="","",(LOOKUP(E16,CriterioControl,CriteriosControles!$B$2:$B$15)))</f>
        <v/>
      </c>
      <c r="G16" s="81"/>
      <c r="H16" s="72" t="str">
        <f>+IF(G16="","",(LOOKUP(G16,CriterioControl,CriteriosControles!$B$2:$B$15)))</f>
        <v/>
      </c>
      <c r="I16" s="81"/>
      <c r="J16" s="72" t="str">
        <f>+IF(I16="","",(LOOKUP(I16,CriterioControl,CriteriosControles!$B$2:$B$15)))</f>
        <v/>
      </c>
      <c r="K16" s="81"/>
      <c r="L16" s="72" t="str">
        <f>+IF(K16="","",(LOOKUP(K16,CriterioControl,CriteriosControles!$B$2:$B$15)))</f>
        <v/>
      </c>
      <c r="M16" s="81"/>
      <c r="N16" s="72" t="str">
        <f>+IF(M16="","",(LOOKUP(M16,CriterioControl,CriteriosControles!$B$2:$B$15)))</f>
        <v/>
      </c>
      <c r="O16" s="73"/>
      <c r="P16" s="72" t="str">
        <f>+IF(O16="","",(LOOKUP(O16,CriterioControl,CriteriosControles!$B$2:$B$15)))</f>
        <v/>
      </c>
      <c r="Q16" s="73"/>
      <c r="R16" s="72" t="str">
        <f>+IF(Q16="","",(LOOKUP(Q16,CriterioControl,CriteriosControles!$B$2:$B$15)))</f>
        <v/>
      </c>
      <c r="S16" s="73"/>
      <c r="T16" s="72" t="str">
        <f>+IF(S16="","",(LOOKUP(S16,CriterioControl,CriteriosControles!$B$2:$B$15)))</f>
        <v/>
      </c>
      <c r="U16" s="73"/>
      <c r="V16" s="72" t="str">
        <f>+IF(U16="","",(LOOKUP(U16,CriterioControl,CriteriosControles!$B$2:$B$15)))</f>
        <v/>
      </c>
      <c r="W16" s="73"/>
      <c r="X16" s="72" t="str">
        <f>+IF(W16="","",(LOOKUP(W16,CriterioControl,CriteriosControles!$B$2:$B$15)))</f>
        <v/>
      </c>
      <c r="Y16" s="73"/>
      <c r="Z16" s="72" t="str">
        <f>+IF(Y16="","",(LOOKUP(Y16,CriterioControl,CriteriosControles!$B$2:$B$15)))</f>
        <v/>
      </c>
      <c r="AA16" s="73"/>
      <c r="AB16" s="72" t="str">
        <f>+IF(AA16="","",(LOOKUP(AA16,CriterioControl,CriteriosControles!$B$2:$B$15)))</f>
        <v/>
      </c>
      <c r="AC16" s="74" t="e">
        <f t="shared" si="3"/>
        <v>#DIV/0!</v>
      </c>
      <c r="AD16" s="74" t="e">
        <f t="shared" si="1"/>
        <v>#DIV/0!</v>
      </c>
      <c r="AE16" s="75" t="e">
        <f t="shared" si="4"/>
        <v>#REF!</v>
      </c>
    </row>
    <row r="17" spans="1:31" x14ac:dyDescent="0.25">
      <c r="A17" s="58"/>
      <c r="B17" s="73" t="e">
        <f>Riesgos!#REF!</f>
        <v>#REF!</v>
      </c>
      <c r="C17" s="73"/>
      <c r="D17" s="72"/>
      <c r="E17" s="81"/>
      <c r="F17" s="72" t="str">
        <f>+IF(E17="","",(LOOKUP(E17,CriterioControl,CriteriosControles!$B$2:$B$15)))</f>
        <v/>
      </c>
      <c r="G17" s="81"/>
      <c r="H17" s="72" t="str">
        <f>+IF(G17="","",(LOOKUP(G17,CriterioControl,CriteriosControles!$B$2:$B$15)))</f>
        <v/>
      </c>
      <c r="I17" s="81"/>
      <c r="J17" s="72" t="str">
        <f>+IF(I17="","",(LOOKUP(I17,CriterioControl,CriteriosControles!$B$2:$B$15)))</f>
        <v/>
      </c>
      <c r="K17" s="81"/>
      <c r="L17" s="72" t="str">
        <f>+IF(K17="","",(LOOKUP(K17,CriterioControl,CriteriosControles!$B$2:$B$15)))</f>
        <v/>
      </c>
      <c r="M17" s="81"/>
      <c r="N17" s="72" t="str">
        <f>+IF(M17="","",(LOOKUP(M17,CriterioControl,CriteriosControles!$B$2:$B$15)))</f>
        <v/>
      </c>
      <c r="O17" s="73"/>
      <c r="P17" s="72" t="str">
        <f>+IF(O17="","",(LOOKUP(O17,CriterioControl,CriteriosControles!$B$2:$B$15)))</f>
        <v/>
      </c>
      <c r="Q17" s="73"/>
      <c r="R17" s="72" t="str">
        <f>+IF(Q17="","",(LOOKUP(Q17,CriterioControl,CriteriosControles!$B$2:$B$15)))</f>
        <v/>
      </c>
      <c r="S17" s="73"/>
      <c r="T17" s="72" t="str">
        <f>+IF(S17="","",(LOOKUP(S17,CriterioControl,CriteriosControles!$B$2:$B$15)))</f>
        <v/>
      </c>
      <c r="U17" s="73"/>
      <c r="V17" s="72" t="str">
        <f>+IF(U17="","",(LOOKUP(U17,CriterioControl,CriteriosControles!$B$2:$B$15)))</f>
        <v/>
      </c>
      <c r="W17" s="73"/>
      <c r="X17" s="72" t="str">
        <f>+IF(W17="","",(LOOKUP(W17,CriterioControl,CriteriosControles!$B$2:$B$15)))</f>
        <v/>
      </c>
      <c r="Y17" s="73"/>
      <c r="Z17" s="72" t="str">
        <f>+IF(Y17="","",(LOOKUP(Y17,CriterioControl,CriteriosControles!$B$2:$B$15)))</f>
        <v/>
      </c>
      <c r="AA17" s="73"/>
      <c r="AB17" s="72" t="str">
        <f>+IF(AA17="","",(LOOKUP(AA17,CriterioControl,CriteriosControles!$B$2:$B$15)))</f>
        <v/>
      </c>
      <c r="AC17" s="74" t="e">
        <f t="shared" si="3"/>
        <v>#DIV/0!</v>
      </c>
      <c r="AD17" s="74" t="e">
        <f t="shared" ref="AD17:AD23" si="5">1-AC17</f>
        <v>#DIV/0!</v>
      </c>
      <c r="AE17" s="75" t="e">
        <f t="shared" si="4"/>
        <v>#REF!</v>
      </c>
    </row>
    <row r="18" spans="1:31" x14ac:dyDescent="0.25">
      <c r="A18" s="58"/>
      <c r="B18" s="73" t="e">
        <f>Riesgos!#REF!</f>
        <v>#REF!</v>
      </c>
      <c r="C18" s="73"/>
      <c r="D18" s="72"/>
      <c r="E18" s="81"/>
      <c r="F18" s="72" t="str">
        <f>+IF(E18="","",(LOOKUP(E18,CriterioControl,CriteriosControles!$B$2:$B$15)))</f>
        <v/>
      </c>
      <c r="G18" s="81"/>
      <c r="H18" s="72" t="str">
        <f>+IF(G18="","",(LOOKUP(G18,CriterioControl,CriteriosControles!$B$2:$B$15)))</f>
        <v/>
      </c>
      <c r="I18" s="81"/>
      <c r="J18" s="72" t="str">
        <f>+IF(I18="","",(LOOKUP(I18,CriterioControl,CriteriosControles!$B$2:$B$15)))</f>
        <v/>
      </c>
      <c r="K18" s="81"/>
      <c r="L18" s="72" t="str">
        <f>+IF(K18="","",(LOOKUP(K18,CriterioControl,CriteriosControles!$B$2:$B$15)))</f>
        <v/>
      </c>
      <c r="M18" s="81"/>
      <c r="N18" s="72" t="str">
        <f>+IF(M18="","",(LOOKUP(M18,CriterioControl,CriteriosControles!$B$2:$B$15)))</f>
        <v/>
      </c>
      <c r="O18" s="73"/>
      <c r="P18" s="72" t="str">
        <f>+IF(O18="","",(LOOKUP(O18,CriterioControl,CriteriosControles!$B$2:$B$15)))</f>
        <v/>
      </c>
      <c r="Q18" s="73"/>
      <c r="R18" s="72" t="str">
        <f>+IF(Q18="","",(LOOKUP(Q18,CriterioControl,CriteriosControles!$B$2:$B$15)))</f>
        <v/>
      </c>
      <c r="S18" s="73"/>
      <c r="T18" s="72" t="str">
        <f>+IF(S18="","",(LOOKUP(S18,CriterioControl,CriteriosControles!$B$2:$B$15)))</f>
        <v/>
      </c>
      <c r="U18" s="73"/>
      <c r="V18" s="72" t="str">
        <f>+IF(U18="","",(LOOKUP(U18,CriterioControl,CriteriosControles!$B$2:$B$15)))</f>
        <v/>
      </c>
      <c r="W18" s="73"/>
      <c r="X18" s="72" t="str">
        <f>+IF(W18="","",(LOOKUP(W18,CriterioControl,CriteriosControles!$B$2:$B$15)))</f>
        <v/>
      </c>
      <c r="Y18" s="73"/>
      <c r="Z18" s="72" t="str">
        <f>+IF(Y18="","",(LOOKUP(Y18,CriterioControl,CriteriosControles!$B$2:$B$15)))</f>
        <v/>
      </c>
      <c r="AA18" s="73"/>
      <c r="AB18" s="72" t="str">
        <f>+IF(AA18="","",(LOOKUP(AA18,CriterioControl,CriteriosControles!$B$2:$B$15)))</f>
        <v/>
      </c>
      <c r="AC18" s="74" t="e">
        <f t="shared" si="3"/>
        <v>#DIV/0!</v>
      </c>
      <c r="AD18" s="74" t="e">
        <f t="shared" si="5"/>
        <v>#DIV/0!</v>
      </c>
      <c r="AE18" s="75" t="e">
        <f t="shared" si="4"/>
        <v>#REF!</v>
      </c>
    </row>
    <row r="19" spans="1:31" x14ac:dyDescent="0.25">
      <c r="A19" s="58"/>
      <c r="B19" s="73" t="e">
        <f>Riesgos!#REF!</f>
        <v>#REF!</v>
      </c>
      <c r="C19" s="73"/>
      <c r="D19" s="72"/>
      <c r="E19" s="81"/>
      <c r="F19" s="72" t="str">
        <f>+IF(E19="","",(LOOKUP(E19,CriterioControl,CriteriosControles!$B$2:$B$15)))</f>
        <v/>
      </c>
      <c r="G19" s="81"/>
      <c r="H19" s="72" t="str">
        <f>+IF(G19="","",(LOOKUP(G19,CriterioControl,CriteriosControles!$B$2:$B$15)))</f>
        <v/>
      </c>
      <c r="I19" s="81"/>
      <c r="J19" s="72" t="str">
        <f>+IF(I19="","",(LOOKUP(I19,CriterioControl,CriteriosControles!$B$2:$B$15)))</f>
        <v/>
      </c>
      <c r="K19" s="81"/>
      <c r="L19" s="72" t="str">
        <f>+IF(K19="","",(LOOKUP(K19,CriterioControl,CriteriosControles!$B$2:$B$15)))</f>
        <v/>
      </c>
      <c r="M19" s="81"/>
      <c r="N19" s="72" t="str">
        <f>+IF(M19="","",(LOOKUP(M19,CriterioControl,CriteriosControles!$B$2:$B$15)))</f>
        <v/>
      </c>
      <c r="O19" s="73"/>
      <c r="P19" s="72" t="str">
        <f>+IF(O19="","",(LOOKUP(O19,CriterioControl,CriteriosControles!$B$2:$B$15)))</f>
        <v/>
      </c>
      <c r="Q19" s="73"/>
      <c r="R19" s="72" t="str">
        <f>+IF(Q19="","",(LOOKUP(Q19,CriterioControl,CriteriosControles!$B$2:$B$15)))</f>
        <v/>
      </c>
      <c r="S19" s="73"/>
      <c r="T19" s="72" t="str">
        <f>+IF(S19="","",(LOOKUP(S19,CriterioControl,CriteriosControles!$B$2:$B$15)))</f>
        <v/>
      </c>
      <c r="U19" s="73"/>
      <c r="V19" s="72" t="str">
        <f>+IF(U19="","",(LOOKUP(U19,CriterioControl,CriteriosControles!$B$2:$B$15)))</f>
        <v/>
      </c>
      <c r="W19" s="73"/>
      <c r="X19" s="72" t="str">
        <f>+IF(W19="","",(LOOKUP(W19,CriterioControl,CriteriosControles!$B$2:$B$15)))</f>
        <v/>
      </c>
      <c r="Y19" s="73"/>
      <c r="Z19" s="72" t="str">
        <f>+IF(Y19="","",(LOOKUP(Y19,CriterioControl,CriteriosControles!$B$2:$B$15)))</f>
        <v/>
      </c>
      <c r="AA19" s="73"/>
      <c r="AB19" s="72" t="str">
        <f>+IF(AA19="","",(LOOKUP(AA19,CriterioControl,CriteriosControles!$B$2:$B$15)))</f>
        <v/>
      </c>
      <c r="AC19" s="74" t="e">
        <f t="shared" si="3"/>
        <v>#DIV/0!</v>
      </c>
      <c r="AD19" s="74" t="e">
        <f t="shared" si="5"/>
        <v>#DIV/0!</v>
      </c>
      <c r="AE19" s="75" t="e">
        <f t="shared" si="4"/>
        <v>#REF!</v>
      </c>
    </row>
    <row r="20" spans="1:31" x14ac:dyDescent="0.25">
      <c r="A20" s="58"/>
      <c r="B20" s="73" t="e">
        <f>Riesgos!#REF!</f>
        <v>#REF!</v>
      </c>
      <c r="C20" s="73"/>
      <c r="D20" s="72"/>
      <c r="E20" s="81"/>
      <c r="F20" s="72" t="str">
        <f>+IF(E20="","",(LOOKUP(E20,CriterioControl,CriteriosControles!$B$2:$B$15)))</f>
        <v/>
      </c>
      <c r="G20" s="81"/>
      <c r="H20" s="72" t="str">
        <f>+IF(G20="","",(LOOKUP(G20,CriterioControl,CriteriosControles!$B$2:$B$15)))</f>
        <v/>
      </c>
      <c r="I20" s="81"/>
      <c r="J20" s="72" t="str">
        <f>+IF(I20="","",(LOOKUP(I20,CriterioControl,CriteriosControles!$B$2:$B$15)))</f>
        <v/>
      </c>
      <c r="K20" s="81"/>
      <c r="L20" s="72" t="str">
        <f>+IF(K20="","",(LOOKUP(K20,CriterioControl,CriteriosControles!$B$2:$B$15)))</f>
        <v/>
      </c>
      <c r="M20" s="81"/>
      <c r="N20" s="72" t="str">
        <f>+IF(M20="","",(LOOKUP(M20,CriterioControl,CriteriosControles!$B$2:$B$15)))</f>
        <v/>
      </c>
      <c r="O20" s="73"/>
      <c r="P20" s="72" t="str">
        <f>+IF(O20="","",(LOOKUP(O20,CriterioControl,CriteriosControles!$B$2:$B$15)))</f>
        <v/>
      </c>
      <c r="Q20" s="73"/>
      <c r="R20" s="72" t="str">
        <f>+IF(Q20="","",(LOOKUP(Q20,CriterioControl,CriteriosControles!$B$2:$B$15)))</f>
        <v/>
      </c>
      <c r="S20" s="73"/>
      <c r="T20" s="72" t="str">
        <f>+IF(S20="","",(LOOKUP(S20,CriterioControl,CriteriosControles!$B$2:$B$15)))</f>
        <v/>
      </c>
      <c r="U20" s="73"/>
      <c r="V20" s="72" t="str">
        <f>+IF(U20="","",(LOOKUP(U20,CriterioControl,CriteriosControles!$B$2:$B$15)))</f>
        <v/>
      </c>
      <c r="W20" s="73"/>
      <c r="X20" s="72" t="str">
        <f>+IF(W20="","",(LOOKUP(W20,CriterioControl,CriteriosControles!$B$2:$B$15)))</f>
        <v/>
      </c>
      <c r="Y20" s="73"/>
      <c r="Z20" s="72" t="str">
        <f>+IF(Y20="","",(LOOKUP(Y20,CriterioControl,CriteriosControles!$B$2:$B$15)))</f>
        <v/>
      </c>
      <c r="AA20" s="73"/>
      <c r="AB20" s="72" t="str">
        <f>+IF(AA20="","",(LOOKUP(AA20,CriterioControl,CriteriosControles!$B$2:$B$15)))</f>
        <v/>
      </c>
      <c r="AC20" s="74" t="e">
        <f t="shared" si="3"/>
        <v>#DIV/0!</v>
      </c>
      <c r="AD20" s="74" t="e">
        <f t="shared" si="5"/>
        <v>#DIV/0!</v>
      </c>
      <c r="AE20" s="75" t="e">
        <f t="shared" si="4"/>
        <v>#REF!</v>
      </c>
    </row>
    <row r="21" spans="1:31" ht="33.75" customHeight="1" x14ac:dyDescent="0.25">
      <c r="A21" s="58"/>
      <c r="B21" s="73" t="e">
        <f>Riesgos!#REF!</f>
        <v>#REF!</v>
      </c>
      <c r="C21" s="73"/>
      <c r="D21" s="72"/>
      <c r="E21" s="81"/>
      <c r="F21" s="72" t="str">
        <f>+IF(E21="","",(LOOKUP(E21,CriterioControl,CriteriosControles!$B$2:$B$15)))</f>
        <v/>
      </c>
      <c r="G21" s="81"/>
      <c r="H21" s="72" t="str">
        <f>+IF(G21="","",(LOOKUP(G21,CriterioControl,CriteriosControles!$B$2:$B$15)))</f>
        <v/>
      </c>
      <c r="I21" s="81"/>
      <c r="J21" s="72" t="str">
        <f>+IF(I21="","",(LOOKUP(I21,CriterioControl,CriteriosControles!$B$2:$B$15)))</f>
        <v/>
      </c>
      <c r="K21" s="81"/>
      <c r="L21" s="72" t="str">
        <f>+IF(K21="","",(LOOKUP(K21,CriterioControl,CriteriosControles!$B$2:$B$15)))</f>
        <v/>
      </c>
      <c r="M21" s="81"/>
      <c r="N21" s="72" t="str">
        <f>+IF(M21="","",(LOOKUP(M21,CriterioControl,CriteriosControles!$B$2:$B$15)))</f>
        <v/>
      </c>
      <c r="O21" s="73"/>
      <c r="P21" s="72" t="str">
        <f>+IF(O21="","",(LOOKUP(O21,CriterioControl,CriteriosControles!$B$2:$B$15)))</f>
        <v/>
      </c>
      <c r="Q21" s="73"/>
      <c r="R21" s="72" t="str">
        <f>+IF(Q21="","",(LOOKUP(Q21,CriterioControl,CriteriosControles!$B$2:$B$15)))</f>
        <v/>
      </c>
      <c r="S21" s="73"/>
      <c r="T21" s="72" t="str">
        <f>+IF(S21="","",(LOOKUP(S21,CriterioControl,CriteriosControles!$B$2:$B$15)))</f>
        <v/>
      </c>
      <c r="U21" s="73"/>
      <c r="V21" s="72" t="str">
        <f>+IF(U21="","",(LOOKUP(U21,CriterioControl,CriteriosControles!$B$2:$B$15)))</f>
        <v/>
      </c>
      <c r="W21" s="73"/>
      <c r="X21" s="72" t="str">
        <f>+IF(W21="","",(LOOKUP(W21,CriterioControl,CriteriosControles!$B$2:$B$15)))</f>
        <v/>
      </c>
      <c r="Y21" s="73"/>
      <c r="Z21" s="72" t="str">
        <f>+IF(Y21="","",(LOOKUP(Y21,CriterioControl,CriteriosControles!$B$2:$B$15)))</f>
        <v/>
      </c>
      <c r="AA21" s="73"/>
      <c r="AB21" s="72" t="str">
        <f>+IF(AA21="","",(LOOKUP(AA21,CriterioControl,CriteriosControles!$B$2:$B$15)))</f>
        <v/>
      </c>
      <c r="AC21" s="74" t="e">
        <f t="shared" si="3"/>
        <v>#DIV/0!</v>
      </c>
      <c r="AD21" s="74" t="e">
        <f t="shared" si="5"/>
        <v>#DIV/0!</v>
      </c>
      <c r="AE21" s="75" t="e">
        <f t="shared" si="4"/>
        <v>#REF!</v>
      </c>
    </row>
    <row r="22" spans="1:31" x14ac:dyDescent="0.25">
      <c r="A22" s="58"/>
      <c r="B22" s="73" t="e">
        <f>Riesgos!#REF!</f>
        <v>#REF!</v>
      </c>
      <c r="C22" s="73"/>
      <c r="D22" s="72"/>
      <c r="E22" s="81"/>
      <c r="F22" s="72" t="str">
        <f>+IF(E22="","",(LOOKUP(E22,CriterioControl,CriteriosControles!$B$2:$B$15)))</f>
        <v/>
      </c>
      <c r="G22" s="81"/>
      <c r="H22" s="72" t="str">
        <f>+IF(G22="","",(LOOKUP(G22,CriterioControl,CriteriosControles!$B$2:$B$15)))</f>
        <v/>
      </c>
      <c r="I22" s="81"/>
      <c r="J22" s="72" t="str">
        <f>+IF(I22="","",(LOOKUP(I22,CriterioControl,CriteriosControles!$B$2:$B$15)))</f>
        <v/>
      </c>
      <c r="K22" s="81"/>
      <c r="L22" s="72" t="str">
        <f>+IF(K22="","",(LOOKUP(K22,CriterioControl,CriteriosControles!$B$2:$B$15)))</f>
        <v/>
      </c>
      <c r="M22" s="81"/>
      <c r="N22" s="72" t="str">
        <f>+IF(M22="","",(LOOKUP(M22,CriterioControl,CriteriosControles!$B$2:$B$15)))</f>
        <v/>
      </c>
      <c r="O22" s="73"/>
      <c r="P22" s="72" t="str">
        <f>+IF(O22="","",(LOOKUP(O22,CriterioControl,CriteriosControles!$B$2:$B$15)))</f>
        <v/>
      </c>
      <c r="Q22" s="73"/>
      <c r="R22" s="72" t="str">
        <f>+IF(Q22="","",(LOOKUP(Q22,CriterioControl,CriteriosControles!$B$2:$B$15)))</f>
        <v/>
      </c>
      <c r="S22" s="73"/>
      <c r="T22" s="72" t="str">
        <f>+IF(S22="","",(LOOKUP(S22,CriterioControl,CriteriosControles!$B$2:$B$15)))</f>
        <v/>
      </c>
      <c r="U22" s="73"/>
      <c r="V22" s="72" t="str">
        <f>+IF(U22="","",(LOOKUP(U22,CriterioControl,CriteriosControles!$B$2:$B$15)))</f>
        <v/>
      </c>
      <c r="W22" s="73"/>
      <c r="X22" s="72" t="str">
        <f>+IF(W22="","",(LOOKUP(W22,CriterioControl,CriteriosControles!$B$2:$B$15)))</f>
        <v/>
      </c>
      <c r="Y22" s="73"/>
      <c r="Z22" s="72" t="str">
        <f>+IF(Y22="","",(LOOKUP(Y22,CriterioControl,CriteriosControles!$B$2:$B$15)))</f>
        <v/>
      </c>
      <c r="AA22" s="73"/>
      <c r="AB22" s="72" t="str">
        <f>+IF(AA22="","",(LOOKUP(AA22,CriterioControl,CriteriosControles!$B$2:$B$15)))</f>
        <v/>
      </c>
      <c r="AC22" s="74" t="e">
        <f t="shared" si="3"/>
        <v>#DIV/0!</v>
      </c>
      <c r="AD22" s="74" t="e">
        <f t="shared" si="5"/>
        <v>#DIV/0!</v>
      </c>
      <c r="AE22" s="75" t="e">
        <f t="shared" si="4"/>
        <v>#REF!</v>
      </c>
    </row>
    <row r="23" spans="1:31" x14ac:dyDescent="0.25">
      <c r="A23" s="58"/>
      <c r="B23" s="73" t="e">
        <f>Riesgos!#REF!</f>
        <v>#REF!</v>
      </c>
      <c r="C23" s="73"/>
      <c r="D23" s="72"/>
      <c r="E23" s="81"/>
      <c r="F23" s="72" t="str">
        <f>+IF(E23="","",(LOOKUP(E23,CriterioControl,CriteriosControles!$B$2:$B$15)))</f>
        <v/>
      </c>
      <c r="G23" s="81"/>
      <c r="H23" s="72" t="str">
        <f>+IF(G23="","",(LOOKUP(G23,CriterioControl,CriteriosControles!$B$2:$B$15)))</f>
        <v/>
      </c>
      <c r="I23" s="81"/>
      <c r="J23" s="72" t="str">
        <f>+IF(I23="","",(LOOKUP(I23,CriterioControl,CriteriosControles!$B$2:$B$15)))</f>
        <v/>
      </c>
      <c r="K23" s="81"/>
      <c r="L23" s="72" t="str">
        <f>+IF(K23="","",(LOOKUP(K23,CriterioControl,CriteriosControles!$B$2:$B$15)))</f>
        <v/>
      </c>
      <c r="M23" s="81"/>
      <c r="N23" s="72" t="str">
        <f>+IF(M23="","",(LOOKUP(M23,CriterioControl,CriteriosControles!$B$2:$B$15)))</f>
        <v/>
      </c>
      <c r="O23" s="73"/>
      <c r="P23" s="72" t="str">
        <f>+IF(O23="","",(LOOKUP(O23,CriterioControl,CriteriosControles!$B$2:$B$15)))</f>
        <v/>
      </c>
      <c r="Q23" s="73"/>
      <c r="R23" s="72" t="str">
        <f>+IF(Q23="","",(LOOKUP(Q23,CriterioControl,CriteriosControles!$B$2:$B$15)))</f>
        <v/>
      </c>
      <c r="S23" s="73"/>
      <c r="T23" s="72" t="str">
        <f>+IF(S23="","",(LOOKUP(S23,CriterioControl,CriteriosControles!$B$2:$B$15)))</f>
        <v/>
      </c>
      <c r="U23" s="73"/>
      <c r="V23" s="72" t="str">
        <f>+IF(U23="","",(LOOKUP(U23,CriterioControl,CriteriosControles!$B$2:$B$15)))</f>
        <v/>
      </c>
      <c r="W23" s="73"/>
      <c r="X23" s="72" t="str">
        <f>+IF(W23="","",(LOOKUP(W23,CriterioControl,CriteriosControles!$B$2:$B$15)))</f>
        <v/>
      </c>
      <c r="Y23" s="73"/>
      <c r="Z23" s="72" t="str">
        <f>+IF(Y23="","",(LOOKUP(Y23,CriterioControl,CriteriosControles!$B$2:$B$15)))</f>
        <v/>
      </c>
      <c r="AA23" s="73"/>
      <c r="AB23" s="72" t="str">
        <f>+IF(AA23="","",(LOOKUP(AA23,CriterioControl,CriteriosControles!$B$2:$B$15)))</f>
        <v/>
      </c>
      <c r="AC23" s="74" t="e">
        <f t="shared" si="3"/>
        <v>#DIV/0!</v>
      </c>
      <c r="AD23" s="74" t="e">
        <f t="shared" si="5"/>
        <v>#DIV/0!</v>
      </c>
      <c r="AE23" s="75" t="e">
        <f t="shared" si="4"/>
        <v>#REF!</v>
      </c>
    </row>
  </sheetData>
  <sheetProtection selectLockedCells="1"/>
  <autoFilter ref="A3:AE23" xr:uid="{00000000-0009-0000-0000-000003000000}"/>
  <mergeCells count="19">
    <mergeCell ref="E2:F2"/>
    <mergeCell ref="A1:A3"/>
    <mergeCell ref="E1:AB1"/>
    <mergeCell ref="B1:B3"/>
    <mergeCell ref="G2:H2"/>
    <mergeCell ref="I2:J2"/>
    <mergeCell ref="K2:L2"/>
    <mergeCell ref="M2:N2"/>
    <mergeCell ref="O2:P2"/>
    <mergeCell ref="Q2:R2"/>
    <mergeCell ref="S2:T2"/>
    <mergeCell ref="U2:V2"/>
    <mergeCell ref="D1:D3"/>
    <mergeCell ref="AD1:AD3"/>
    <mergeCell ref="AE1:AE3"/>
    <mergeCell ref="W2:X2"/>
    <mergeCell ref="Y2:Z2"/>
    <mergeCell ref="AA2:AB2"/>
    <mergeCell ref="AC1:AC3"/>
  </mergeCells>
  <conditionalFormatting sqref="F25:J1048576 F24:I24 E1 F4:F7 F15:F23">
    <cfRule type="cellIs" dxfId="46" priority="68" operator="notEqual">
      <formula>""</formula>
    </cfRule>
  </conditionalFormatting>
  <conditionalFormatting sqref="H4:H7 H15:H23">
    <cfRule type="cellIs" dxfId="45" priority="35" operator="notEqual">
      <formula>""</formula>
    </cfRule>
  </conditionalFormatting>
  <conditionalFormatting sqref="J4:J7 J15:J23">
    <cfRule type="cellIs" dxfId="44" priority="34" operator="notEqual">
      <formula>""</formula>
    </cfRule>
  </conditionalFormatting>
  <conditionalFormatting sqref="L4:L7 L15:L23">
    <cfRule type="cellIs" dxfId="43" priority="33" operator="notEqual">
      <formula>""</formula>
    </cfRule>
  </conditionalFormatting>
  <conditionalFormatting sqref="N4:N7 N15:N23">
    <cfRule type="cellIs" dxfId="42" priority="32" operator="notEqual">
      <formula>""</formula>
    </cfRule>
  </conditionalFormatting>
  <conditionalFormatting sqref="P4:P7 P15:P23">
    <cfRule type="cellIs" dxfId="41" priority="31" operator="notEqual">
      <formula>""</formula>
    </cfRule>
  </conditionalFormatting>
  <conditionalFormatting sqref="R4:R7 R15:R23">
    <cfRule type="cellIs" dxfId="40" priority="30" operator="notEqual">
      <formula>""</formula>
    </cfRule>
  </conditionalFormatting>
  <conditionalFormatting sqref="T4:T7 T15:T23">
    <cfRule type="cellIs" dxfId="39" priority="29" operator="notEqual">
      <formula>""</formula>
    </cfRule>
  </conditionalFormatting>
  <conditionalFormatting sqref="V4:V7 V15:V23">
    <cfRule type="cellIs" dxfId="38" priority="28" operator="notEqual">
      <formula>""</formula>
    </cfRule>
  </conditionalFormatting>
  <conditionalFormatting sqref="X4:X7 X15:X23">
    <cfRule type="cellIs" dxfId="37" priority="27" operator="notEqual">
      <formula>""</formula>
    </cfRule>
  </conditionalFormatting>
  <conditionalFormatting sqref="Z4:Z7 Z15:Z23">
    <cfRule type="cellIs" dxfId="36" priority="26" operator="notEqual">
      <formula>""</formula>
    </cfRule>
  </conditionalFormatting>
  <conditionalFormatting sqref="AB4:AB7 AB15:AB23">
    <cfRule type="cellIs" dxfId="35" priority="25" operator="notEqual">
      <formula>""</formula>
    </cfRule>
  </conditionalFormatting>
  <conditionalFormatting sqref="F8">
    <cfRule type="cellIs" dxfId="34" priority="24" operator="notEqual">
      <formula>""</formula>
    </cfRule>
  </conditionalFormatting>
  <conditionalFormatting sqref="H8">
    <cfRule type="cellIs" dxfId="33" priority="23" operator="notEqual">
      <formula>""</formula>
    </cfRule>
  </conditionalFormatting>
  <conditionalFormatting sqref="J8">
    <cfRule type="cellIs" dxfId="32" priority="22" operator="notEqual">
      <formula>""</formula>
    </cfRule>
  </conditionalFormatting>
  <conditionalFormatting sqref="L8">
    <cfRule type="cellIs" dxfId="31" priority="21" operator="notEqual">
      <formula>""</formula>
    </cfRule>
  </conditionalFormatting>
  <conditionalFormatting sqref="N8">
    <cfRule type="cellIs" dxfId="30" priority="20" operator="notEqual">
      <formula>""</formula>
    </cfRule>
  </conditionalFormatting>
  <conditionalFormatting sqref="P8">
    <cfRule type="cellIs" dxfId="29" priority="19" operator="notEqual">
      <formula>""</formula>
    </cfRule>
  </conditionalFormatting>
  <conditionalFormatting sqref="R8">
    <cfRule type="cellIs" dxfId="28" priority="18" operator="notEqual">
      <formula>""</formula>
    </cfRule>
  </conditionalFormatting>
  <conditionalFormatting sqref="T8">
    <cfRule type="cellIs" dxfId="27" priority="17" operator="notEqual">
      <formula>""</formula>
    </cfRule>
  </conditionalFormatting>
  <conditionalFormatting sqref="V8">
    <cfRule type="cellIs" dxfId="26" priority="16" operator="notEqual">
      <formula>""</formula>
    </cfRule>
  </conditionalFormatting>
  <conditionalFormatting sqref="X8">
    <cfRule type="cellIs" dxfId="25" priority="15" operator="notEqual">
      <formula>""</formula>
    </cfRule>
  </conditionalFormatting>
  <conditionalFormatting sqref="Z8">
    <cfRule type="cellIs" dxfId="24" priority="14" operator="notEqual">
      <formula>""</formula>
    </cfRule>
  </conditionalFormatting>
  <conditionalFormatting sqref="AB8">
    <cfRule type="cellIs" dxfId="23" priority="13" operator="notEqual">
      <formula>""</formula>
    </cfRule>
  </conditionalFormatting>
  <conditionalFormatting sqref="F9:F14">
    <cfRule type="cellIs" dxfId="22" priority="12" operator="notEqual">
      <formula>""</formula>
    </cfRule>
  </conditionalFormatting>
  <conditionalFormatting sqref="H9:H14">
    <cfRule type="cellIs" dxfId="21" priority="11" operator="notEqual">
      <formula>""</formula>
    </cfRule>
  </conditionalFormatting>
  <conditionalFormatting sqref="J9:J14">
    <cfRule type="cellIs" dxfId="20" priority="10" operator="notEqual">
      <formula>""</formula>
    </cfRule>
  </conditionalFormatting>
  <conditionalFormatting sqref="L9:L14">
    <cfRule type="cellIs" dxfId="19" priority="9" operator="notEqual">
      <formula>""</formula>
    </cfRule>
  </conditionalFormatting>
  <conditionalFormatting sqref="N9:N14">
    <cfRule type="cellIs" dxfId="18" priority="8" operator="notEqual">
      <formula>""</formula>
    </cfRule>
  </conditionalFormatting>
  <conditionalFormatting sqref="P9:P14">
    <cfRule type="cellIs" dxfId="17" priority="7" operator="notEqual">
      <formula>""</formula>
    </cfRule>
  </conditionalFormatting>
  <conditionalFormatting sqref="R9:R14">
    <cfRule type="cellIs" dxfId="16" priority="6" operator="notEqual">
      <formula>""</formula>
    </cfRule>
  </conditionalFormatting>
  <conditionalFormatting sqref="T9:T14">
    <cfRule type="cellIs" dxfId="15" priority="5" operator="notEqual">
      <formula>""</formula>
    </cfRule>
  </conditionalFormatting>
  <conditionalFormatting sqref="V9:V14">
    <cfRule type="cellIs" dxfId="14" priority="4" operator="notEqual">
      <formula>""</formula>
    </cfRule>
  </conditionalFormatting>
  <conditionalFormatting sqref="X9:X14">
    <cfRule type="cellIs" dxfId="13" priority="3" operator="notEqual">
      <formula>""</formula>
    </cfRule>
  </conditionalFormatting>
  <conditionalFormatting sqref="Z9:Z14">
    <cfRule type="cellIs" dxfId="12" priority="2" operator="notEqual">
      <formula>""</formula>
    </cfRule>
  </conditionalFormatting>
  <conditionalFormatting sqref="AB9:AB14">
    <cfRule type="cellIs" dxfId="11" priority="1" operator="notEqual">
      <formula>""</formula>
    </cfRule>
  </conditionalFormatting>
  <dataValidations count="1">
    <dataValidation type="list" allowBlank="1" showInputMessage="1" showErrorMessage="1" sqref="AA4:AA23 Y4:Y23 W4:W23 U4:U23 S4:S23 Q4:Q23 O4:O23 M4:M23 K4:K23 I4:I23 G4:G23 E4:E23" xr:uid="{00000000-0002-0000-0300-000000000000}">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56" t="s">
        <v>126</v>
      </c>
      <c r="B1" s="156"/>
    </row>
    <row r="2" spans="1:2" x14ac:dyDescent="0.25">
      <c r="A2" t="s">
        <v>129</v>
      </c>
      <c r="B2" s="71" t="s">
        <v>127</v>
      </c>
    </row>
    <row r="3" spans="1:2" x14ac:dyDescent="0.25">
      <c r="A3" t="s">
        <v>130</v>
      </c>
      <c r="B3" s="71" t="s">
        <v>128</v>
      </c>
    </row>
    <row r="4" spans="1:2" x14ac:dyDescent="0.25">
      <c r="A4" t="s">
        <v>131</v>
      </c>
      <c r="B4" s="71">
        <v>1</v>
      </c>
    </row>
    <row r="5" spans="1:2" x14ac:dyDescent="0.25">
      <c r="A5" t="s">
        <v>132</v>
      </c>
      <c r="B5" s="71">
        <v>1</v>
      </c>
    </row>
    <row r="6" spans="1:2" x14ac:dyDescent="0.25">
      <c r="A6" t="s">
        <v>133</v>
      </c>
      <c r="B6" s="71">
        <v>4</v>
      </c>
    </row>
    <row r="7" spans="1:2" x14ac:dyDescent="0.25">
      <c r="A7" t="s">
        <v>134</v>
      </c>
      <c r="B7" s="71">
        <v>5</v>
      </c>
    </row>
    <row r="8" spans="1:2" x14ac:dyDescent="0.25">
      <c r="A8" t="s">
        <v>135</v>
      </c>
      <c r="B8" s="71">
        <v>1</v>
      </c>
    </row>
    <row r="9" spans="1:2" x14ac:dyDescent="0.25">
      <c r="A9" t="s">
        <v>136</v>
      </c>
      <c r="B9" s="71">
        <v>1</v>
      </c>
    </row>
    <row r="10" spans="1:2" x14ac:dyDescent="0.25">
      <c r="A10" t="s">
        <v>137</v>
      </c>
      <c r="B10" s="71">
        <v>3</v>
      </c>
    </row>
    <row r="11" spans="1:2" x14ac:dyDescent="0.25">
      <c r="A11" t="s">
        <v>138</v>
      </c>
      <c r="B11" s="71">
        <v>4</v>
      </c>
    </row>
    <row r="12" spans="1:2" x14ac:dyDescent="0.25">
      <c r="A12" t="s">
        <v>139</v>
      </c>
      <c r="B12" s="71">
        <v>1</v>
      </c>
    </row>
    <row r="13" spans="1:2" x14ac:dyDescent="0.25">
      <c r="A13" t="s">
        <v>140</v>
      </c>
      <c r="B13" s="71">
        <v>1</v>
      </c>
    </row>
    <row r="14" spans="1:2" x14ac:dyDescent="0.25">
      <c r="A14" t="s">
        <v>141</v>
      </c>
      <c r="B14" s="71">
        <v>2</v>
      </c>
    </row>
    <row r="15" spans="1:2" x14ac:dyDescent="0.25">
      <c r="A15" t="s">
        <v>142</v>
      </c>
      <c r="B15" s="71">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1" t="s">
        <v>116</v>
      </c>
      <c r="D2" s="92" t="s">
        <v>160</v>
      </c>
      <c r="E2" s="93" t="s">
        <v>161</v>
      </c>
    </row>
    <row r="3" spans="3:5" x14ac:dyDescent="0.25">
      <c r="C3" s="157" t="s">
        <v>162</v>
      </c>
      <c r="D3" s="160">
        <v>1</v>
      </c>
      <c r="E3" s="94" t="s">
        <v>171</v>
      </c>
    </row>
    <row r="4" spans="3:5" x14ac:dyDescent="0.25">
      <c r="C4" s="158"/>
      <c r="D4" s="161"/>
      <c r="E4" s="94" t="s">
        <v>172</v>
      </c>
    </row>
    <row r="5" spans="3:5" ht="15.75" thickBot="1" x14ac:dyDescent="0.3">
      <c r="C5" s="159"/>
      <c r="D5" s="162"/>
      <c r="E5" s="95" t="s">
        <v>173</v>
      </c>
    </row>
    <row r="6" spans="3:5" x14ac:dyDescent="0.25">
      <c r="C6" s="157" t="s">
        <v>163</v>
      </c>
      <c r="D6" s="160">
        <v>2</v>
      </c>
      <c r="E6" s="94" t="s">
        <v>174</v>
      </c>
    </row>
    <row r="7" spans="3:5" x14ac:dyDescent="0.25">
      <c r="C7" s="158"/>
      <c r="D7" s="161"/>
      <c r="E7" s="94" t="s">
        <v>175</v>
      </c>
    </row>
    <row r="8" spans="3:5" ht="15.75" thickBot="1" x14ac:dyDescent="0.3">
      <c r="C8" s="159"/>
      <c r="D8" s="162"/>
      <c r="E8" s="95" t="s">
        <v>176</v>
      </c>
    </row>
    <row r="9" spans="3:5" x14ac:dyDescent="0.25">
      <c r="C9" s="157" t="s">
        <v>164</v>
      </c>
      <c r="D9" s="160">
        <v>3</v>
      </c>
      <c r="E9" s="94" t="s">
        <v>165</v>
      </c>
    </row>
    <row r="10" spans="3:5" ht="38.25" x14ac:dyDescent="0.25">
      <c r="C10" s="158"/>
      <c r="D10" s="161"/>
      <c r="E10" s="94" t="s">
        <v>177</v>
      </c>
    </row>
    <row r="11" spans="3:5" x14ac:dyDescent="0.25">
      <c r="C11" s="158"/>
      <c r="D11" s="161"/>
      <c r="E11" s="94" t="s">
        <v>178</v>
      </c>
    </row>
    <row r="12" spans="3:5" x14ac:dyDescent="0.25">
      <c r="C12" s="158"/>
      <c r="D12" s="161"/>
      <c r="E12" s="94" t="s">
        <v>179</v>
      </c>
    </row>
    <row r="13" spans="3:5" x14ac:dyDescent="0.25">
      <c r="C13" s="158"/>
      <c r="D13" s="161"/>
      <c r="E13" s="94" t="s">
        <v>180</v>
      </c>
    </row>
    <row r="14" spans="3:5" ht="15.75" thickBot="1" x14ac:dyDescent="0.3">
      <c r="C14" s="159"/>
      <c r="D14" s="162"/>
      <c r="E14" s="95" t="s">
        <v>166</v>
      </c>
    </row>
    <row r="15" spans="3:5" x14ac:dyDescent="0.25">
      <c r="C15" s="157" t="s">
        <v>167</v>
      </c>
      <c r="D15" s="160">
        <v>4</v>
      </c>
      <c r="E15" s="94" t="s">
        <v>168</v>
      </c>
    </row>
    <row r="16" spans="3:5" x14ac:dyDescent="0.25">
      <c r="C16" s="158"/>
      <c r="D16" s="161"/>
      <c r="E16" s="94" t="s">
        <v>181</v>
      </c>
    </row>
    <row r="17" spans="3:5" x14ac:dyDescent="0.25">
      <c r="C17" s="158"/>
      <c r="D17" s="161"/>
      <c r="E17" s="94" t="s">
        <v>182</v>
      </c>
    </row>
    <row r="18" spans="3:5" x14ac:dyDescent="0.25">
      <c r="C18" s="158"/>
      <c r="D18" s="161"/>
      <c r="E18" s="94" t="s">
        <v>183</v>
      </c>
    </row>
    <row r="19" spans="3:5" ht="15.75" thickBot="1" x14ac:dyDescent="0.3">
      <c r="C19" s="159"/>
      <c r="D19" s="162"/>
      <c r="E19" s="95" t="s">
        <v>184</v>
      </c>
    </row>
    <row r="20" spans="3:5" x14ac:dyDescent="0.25">
      <c r="C20" s="157" t="s">
        <v>169</v>
      </c>
      <c r="D20" s="160">
        <v>5</v>
      </c>
      <c r="E20" s="94" t="s">
        <v>170</v>
      </c>
    </row>
    <row r="21" spans="3:5" x14ac:dyDescent="0.25">
      <c r="C21" s="158"/>
      <c r="D21" s="161"/>
      <c r="E21" s="94" t="s">
        <v>185</v>
      </c>
    </row>
    <row r="22" spans="3:5" x14ac:dyDescent="0.25">
      <c r="C22" s="158"/>
      <c r="D22" s="161"/>
      <c r="E22" s="94" t="s">
        <v>186</v>
      </c>
    </row>
    <row r="23" spans="3:5" x14ac:dyDescent="0.25">
      <c r="C23" s="158"/>
      <c r="D23" s="161"/>
      <c r="E23" s="94" t="s">
        <v>187</v>
      </c>
    </row>
    <row r="24" spans="3:5" ht="15.75" thickBot="1" x14ac:dyDescent="0.3">
      <c r="C24" s="159"/>
      <c r="D24" s="162"/>
      <c r="E24" s="95"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4"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2"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2"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3"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4"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4"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4" t="s">
        <v>200</v>
      </c>
      <c r="J7" s="46"/>
      <c r="K7" s="46"/>
      <c r="L7" s="51"/>
      <c r="M7" s="46"/>
      <c r="N7" s="46"/>
      <c r="O7" s="46"/>
      <c r="P7" s="46"/>
      <c r="Q7" s="46"/>
      <c r="R7" s="46"/>
      <c r="S7" s="46"/>
      <c r="T7" s="46"/>
      <c r="U7" s="46"/>
      <c r="V7" s="46"/>
    </row>
    <row r="8" spans="1:22" ht="15.75" thickBot="1" x14ac:dyDescent="0.3">
      <c r="E8" s="49"/>
      <c r="F8" s="49"/>
      <c r="G8" s="49" t="s">
        <v>37</v>
      </c>
      <c r="H8" s="49"/>
      <c r="I8" s="84" t="s">
        <v>201</v>
      </c>
      <c r="J8" s="46"/>
      <c r="K8" s="46"/>
      <c r="L8" s="51"/>
      <c r="M8" s="46"/>
      <c r="N8" s="46"/>
      <c r="O8" s="46"/>
      <c r="P8" s="46"/>
      <c r="Q8" s="46"/>
      <c r="R8" s="46"/>
      <c r="S8" s="46"/>
      <c r="T8" s="46"/>
      <c r="U8" s="46"/>
      <c r="V8" s="46"/>
    </row>
    <row r="9" spans="1:22" ht="15.75" thickBot="1" x14ac:dyDescent="0.3">
      <c r="A9" s="1" t="s">
        <v>66</v>
      </c>
      <c r="E9" s="49"/>
      <c r="F9" s="49"/>
      <c r="G9" s="49" t="s">
        <v>38</v>
      </c>
      <c r="H9" s="49"/>
      <c r="I9" s="84"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4"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4"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4"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4"/>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4"/>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4"/>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4"/>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4"/>
      <c r="J17" s="11"/>
      <c r="K17" s="11"/>
      <c r="L17" s="11"/>
      <c r="M17" s="11"/>
      <c r="N17" s="11"/>
      <c r="O17" s="11"/>
      <c r="P17" s="11"/>
      <c r="Q17" s="11"/>
      <c r="R17" s="11"/>
      <c r="V17" s="12"/>
    </row>
    <row r="18" spans="1:22" ht="15.75" thickBot="1" x14ac:dyDescent="0.3">
      <c r="E18" s="10"/>
      <c r="F18" s="10"/>
      <c r="G18" s="10"/>
      <c r="H18" s="10"/>
      <c r="I18" s="84"/>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4"/>
      <c r="J19" s="11"/>
      <c r="K19" s="11"/>
      <c r="L19" s="11"/>
      <c r="M19" s="11"/>
      <c r="N19" s="11"/>
      <c r="O19" s="11"/>
      <c r="P19" s="11"/>
      <c r="Q19" s="11"/>
      <c r="R19" s="11"/>
      <c r="V19" s="12"/>
    </row>
    <row r="20" spans="1:22" ht="15.75" thickBot="1" x14ac:dyDescent="0.3">
      <c r="A20" s="1" t="s">
        <v>67</v>
      </c>
      <c r="E20" s="10"/>
      <c r="F20" s="10"/>
      <c r="G20" s="10"/>
      <c r="H20" s="10"/>
      <c r="I20" s="84"/>
      <c r="J20" s="11"/>
      <c r="K20" s="11"/>
      <c r="L20" s="11"/>
      <c r="M20" s="11"/>
      <c r="N20" s="11"/>
      <c r="O20" s="11"/>
      <c r="P20" s="11"/>
      <c r="Q20" s="11"/>
      <c r="R20" s="11"/>
      <c r="V20" s="12"/>
    </row>
    <row r="21" spans="1:22" ht="30.75" thickBot="1" x14ac:dyDescent="0.3">
      <c r="A21" s="18" t="s">
        <v>71</v>
      </c>
      <c r="C21" s="19">
        <f>COUNTA(Riesgos!C7:C103)</f>
        <v>11</v>
      </c>
      <c r="E21" s="10"/>
      <c r="F21" s="10"/>
      <c r="G21" s="10"/>
      <c r="H21" s="10"/>
      <c r="I21" s="84"/>
      <c r="J21" s="11"/>
      <c r="K21" s="11"/>
      <c r="L21" s="11"/>
      <c r="M21" s="11"/>
      <c r="N21" s="11"/>
      <c r="O21" s="11"/>
      <c r="P21" s="11"/>
      <c r="Q21" s="11"/>
      <c r="R21" s="11"/>
      <c r="V21" s="13" t="s">
        <v>64</v>
      </c>
    </row>
    <row r="22" spans="1:22" ht="30.75" thickBot="1" x14ac:dyDescent="0.3">
      <c r="A22" s="18" t="s">
        <v>72</v>
      </c>
      <c r="C22" s="19">
        <f>COUNTIF(Riesgos!I7:I103,"&gt;="&amp;Listas!C2)</f>
        <v>4</v>
      </c>
      <c r="I22" s="84"/>
      <c r="V22" s="13" t="s">
        <v>65</v>
      </c>
    </row>
    <row r="23" spans="1:22" ht="15.75" thickBot="1" x14ac:dyDescent="0.3">
      <c r="A23" s="18" t="s">
        <v>73</v>
      </c>
      <c r="C23" s="19">
        <f>C21-C22-C24</f>
        <v>4</v>
      </c>
      <c r="I23" s="84"/>
      <c r="V23" s="12"/>
    </row>
    <row r="24" spans="1:22" ht="15.75" thickBot="1" x14ac:dyDescent="0.3">
      <c r="A24" s="18" t="s">
        <v>74</v>
      </c>
      <c r="C24" s="19">
        <f>COUNTIF(Riesgos!I7:I103,"&lt;"&amp;Listas!C4)</f>
        <v>3</v>
      </c>
      <c r="I24" s="84"/>
      <c r="V24" s="12" t="str">
        <f>CONCATENATE(V21,A2,V22)</f>
        <v>Plan de persecución de oportunidades 
(sugerida para factor de oportunidades &gt;=8) 
Puede referenciar a documentos de planificación externa</v>
      </c>
    </row>
    <row r="25" spans="1:22" ht="15.75" thickBot="1" x14ac:dyDescent="0.3">
      <c r="I25" s="84"/>
      <c r="V25" s="12"/>
    </row>
    <row r="26" spans="1:22" ht="15.75" thickBot="1" x14ac:dyDescent="0.3">
      <c r="I26" s="84"/>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usuario</cp:lastModifiedBy>
  <cp:lastPrinted>2020-02-06T15:03:26Z</cp:lastPrinted>
  <dcterms:created xsi:type="dcterms:W3CDTF">2015-08-31T12:23:57Z</dcterms:created>
  <dcterms:modified xsi:type="dcterms:W3CDTF">2021-02-17T19:49:02Z</dcterms:modified>
  <cp:category>ISO 9001:2015;Procedimientos</cp:category>
</cp:coreProperties>
</file>