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autoCompressPictures="0"/>
  <mc:AlternateContent xmlns:mc="http://schemas.openxmlformats.org/markup-compatibility/2006">
    <mc:Choice Requires="x15">
      <x15ac:absPath xmlns:x15ac="http://schemas.microsoft.com/office/spreadsheetml/2010/11/ac" url="D:\Datos D\claudia inf\Documentos\2019\corrupcion\"/>
    </mc:Choice>
  </mc:AlternateContent>
  <xr:revisionPtr revIDLastSave="0" documentId="13_ncr:1_{634CBFDD-8A50-4BA9-B797-20451EF7FA59}" xr6:coauthVersionLast="43" xr6:coauthVersionMax="43"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 sheetId="14" r:id="rId6"/>
    <sheet name="Listas" sheetId="8" state="hidden" r:id="rId7"/>
  </sheets>
  <externalReferences>
    <externalReference r:id="rId8"/>
    <externalReference r:id="rId9"/>
  </externalReferences>
  <definedNames>
    <definedName name="_xlnm._FilterDatabase" localSheetId="1" hidden="1">Cuestiones!$A$2:$H$101</definedName>
    <definedName name="_xlnm._FilterDatabase" localSheetId="2" hidden="1">Riesgos!$A$4:$S$24</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7" i="4" l="1"/>
  <c r="B16" i="10"/>
  <c r="I6" i="4"/>
  <c r="B5" i="10"/>
  <c r="I7" i="4"/>
  <c r="I8" i="4"/>
  <c r="I9" i="4"/>
  <c r="B8" i="10"/>
  <c r="I11" i="4"/>
  <c r="B10" i="10"/>
  <c r="I12" i="4"/>
  <c r="B11" i="10"/>
  <c r="I16" i="4"/>
  <c r="B15" i="10"/>
  <c r="I18" i="4"/>
  <c r="B17" i="10"/>
  <c r="I19" i="4"/>
  <c r="B18" i="10"/>
  <c r="I20" i="4"/>
  <c r="B19" i="10"/>
  <c r="I21" i="4"/>
  <c r="B20" i="10"/>
  <c r="I15" i="4"/>
  <c r="B14" i="10"/>
  <c r="I14" i="4"/>
  <c r="B13" i="10"/>
  <c r="I13" i="4"/>
  <c r="B12" i="10"/>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E9" i="10"/>
  <c r="E10" i="10"/>
  <c r="E11" i="10"/>
  <c r="E12" i="10"/>
  <c r="E13" i="10"/>
  <c r="E14" i="10"/>
  <c r="E15" i="10"/>
  <c r="E16" i="10"/>
  <c r="E17" i="10"/>
  <c r="E18" i="10"/>
  <c r="E19" i="10"/>
  <c r="E20" i="10"/>
  <c r="E21" i="10"/>
  <c r="AB21" i="10"/>
  <c r="AC21" i="10"/>
  <c r="E22" i="10"/>
  <c r="AB22" i="10"/>
  <c r="AC22" i="10"/>
  <c r="E23" i="10"/>
  <c r="AB23" i="10"/>
  <c r="AC23" i="10"/>
  <c r="E4" i="10"/>
  <c r="A23" i="10"/>
  <c r="A22" i="10"/>
  <c r="B23" i="10"/>
  <c r="B22" i="10"/>
  <c r="B21" i="10"/>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c r="A8" i="4"/>
  <c r="A10" i="4"/>
  <c r="A11" i="4"/>
  <c r="A12" i="4"/>
  <c r="A13" i="4"/>
  <c r="A14" i="4"/>
  <c r="A15" i="4"/>
  <c r="A16" i="4"/>
  <c r="A17" i="4"/>
  <c r="A18" i="4"/>
  <c r="A19" i="4"/>
  <c r="A20" i="4"/>
  <c r="A21" i="4"/>
  <c r="C11" i="8"/>
  <c r="C10" i="8"/>
  <c r="V18" i="8"/>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V24" i="8"/>
  <c r="C21" i="8"/>
  <c r="A13" i="8"/>
  <c r="C13" i="8"/>
  <c r="A14" i="8"/>
  <c r="C14" i="8"/>
  <c r="A15" i="8"/>
  <c r="C15" i="8"/>
  <c r="A16" i="8"/>
  <c r="C16" i="8"/>
  <c r="A17" i="8"/>
  <c r="C17" i="8"/>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B4" i="10"/>
  <c r="AB8" i="10"/>
  <c r="AC8" i="10"/>
  <c r="AD8" i="10"/>
  <c r="K9" i="4"/>
  <c r="AB11" i="10"/>
  <c r="AC11" i="10"/>
  <c r="AD11" i="10"/>
  <c r="K12" i="4"/>
  <c r="AB12" i="10"/>
  <c r="AC12" i="10"/>
  <c r="AB20" i="10"/>
  <c r="AC20" i="10"/>
  <c r="AD20" i="10"/>
  <c r="K21" i="4"/>
  <c r="AB10" i="10"/>
  <c r="AC10" i="10"/>
  <c r="AD10" i="10"/>
  <c r="K11" i="4"/>
  <c r="AB14" i="10"/>
  <c r="AC14" i="10"/>
  <c r="AD14" i="10"/>
  <c r="K15" i="4"/>
  <c r="AB15" i="10"/>
  <c r="AC15" i="10"/>
  <c r="AD15" i="10"/>
  <c r="K16" i="4"/>
  <c r="AB9" i="10"/>
  <c r="AC9" i="10"/>
  <c r="AD9" i="10"/>
  <c r="K10" i="4"/>
  <c r="AB13" i="10"/>
  <c r="AC13" i="10"/>
  <c r="AD13" i="10"/>
  <c r="K14" i="4"/>
  <c r="AB7" i="10"/>
  <c r="AC7" i="10"/>
  <c r="AD22" i="10"/>
  <c r="C22" i="8"/>
  <c r="AB17" i="10"/>
  <c r="AC17" i="10"/>
  <c r="AD17" i="10"/>
  <c r="K18" i="4"/>
  <c r="C24" i="8"/>
  <c r="AD21" i="10"/>
  <c r="AB16" i="10"/>
  <c r="AC16" i="10"/>
  <c r="AD16" i="10"/>
  <c r="K17" i="4"/>
  <c r="AB6" i="10"/>
  <c r="AC6" i="10"/>
  <c r="B6" i="10"/>
  <c r="AD23" i="10"/>
  <c r="B7" i="10"/>
  <c r="AD12" i="10"/>
  <c r="K13" i="4"/>
  <c r="AB5" i="10"/>
  <c r="AC5" i="10"/>
  <c r="AD5" i="10"/>
  <c r="K6" i="4"/>
  <c r="AB18" i="10"/>
  <c r="AC18" i="10"/>
  <c r="AD18" i="10"/>
  <c r="K19" i="4"/>
  <c r="AB4" i="10"/>
  <c r="AC4" i="10"/>
  <c r="AD4" i="10"/>
  <c r="K5" i="4"/>
  <c r="AD7" i="10"/>
  <c r="K8" i="4"/>
  <c r="C23" i="8"/>
  <c r="AD6" i="10"/>
  <c r="K7" i="4"/>
  <c r="AB19" i="10" l="1"/>
  <c r="AC19" i="10" s="1"/>
  <c r="AD19" i="10" s="1"/>
  <c r="K20" i="4" s="1"/>
</calcChain>
</file>

<file path=xl/sharedStrings.xml><?xml version="1.0" encoding="utf-8"?>
<sst xmlns="http://schemas.openxmlformats.org/spreadsheetml/2006/main" count="715" uniqueCount="263">
  <si>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</si>
  <si>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</si>
  <si>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</si>
  <si>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</si>
  <si>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</si>
  <si>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</si>
  <si>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</si>
  <si>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</si>
  <si>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</si>
  <si>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</si>
  <si>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</si>
  <si>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</si>
  <si>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</si>
  <si>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</si>
  <si>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</si>
  <si>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</si>
  <si>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</si>
  <si>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</si>
  <si>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</si>
  <si>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</si>
  <si>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</si>
  <si>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</si>
  <si>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</si>
  <si>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</si>
  <si>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</si>
  <si>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</si>
  <si>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</si>
  <si>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</si>
  <si>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</si>
  <si>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</si>
  <si>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</si>
  <si>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</si>
  <si>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</si>
  <si>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</si>
  <si>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</si>
  <si>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</si>
  <si>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</si>
  <si>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</si>
  <si>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</si>
  <si>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</si>
  <si>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</si>
  <si>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</si>
  <si>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</si>
  <si>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</si>
  <si>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</si>
  <si>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</si>
  <si>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</si>
  <si>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</si>
  <si>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</si>
  <si>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</si>
  <si>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</si>
  <si>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</si>
  <si>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</si>
  <si>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</si>
  <si>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</si>
  <si>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</si>
  <si>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</si>
  <si>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</si>
  <si>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</si>
  <si>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</si>
  <si>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</si>
  <si>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</si>
  <si>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</si>
  <si>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</si>
  <si>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</si>
  <si>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</si>
  <si>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</si>
  <si>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</si>
  <si>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</si>
  <si>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</si>
  <si>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</si>
  <si>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</si>
  <si>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</si>
  <si>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</si>
  <si>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</si>
  <si>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</si>
  <si>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</si>
  <si>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</si>
  <si>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</si>
  <si>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</si>
  <si>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</si>
  <si>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</si>
  <si>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</si>
  <si>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</si>
  <si>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</si>
  <si>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</si>
  <si>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</si>
  <si>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</si>
  <si>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</si>
  <si>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</si>
  <si>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</si>
  <si>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</si>
  <si>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</si>
  <si>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</si>
  <si>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</si>
  <si>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</si>
  <si>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</si>
  <si>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</si>
  <si>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</si>
  <si>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</si>
  <si>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</si>
  <si>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</si>
  <si>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</si>
  <si>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</si>
  <si>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</si>
  <si>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</si>
  <si>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</si>
  <si>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</si>
  <si>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</si>
  <si>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</si>
  <si>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</si>
  <si>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</si>
  <si>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</si>
  <si>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</si>
  <si>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</si>
  <si>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</si>
  <si>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</si>
  <si>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</si>
  <si>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</si>
  <si>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</si>
  <si>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</si>
  <si>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</si>
  <si>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</si>
  <si>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</si>
  <si>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</si>
  <si>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</si>
  <si>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</si>
  <si>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</si>
  <si>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</si>
  <si>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</si>
  <si>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</si>
  <si>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</si>
  <si>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</si>
  <si>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</si>
  <si>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</si>
  <si>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</si>
  <si>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</si>
  <si>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</si>
  <si>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</si>
  <si>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</si>
  <si>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</si>
  <si>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</si>
  <si>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</si>
  <si>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</si>
  <si>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</si>
  <si>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</si>
  <si>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</si>
  <si>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</si>
  <si>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</si>
  <si>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</si>
  <si>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</si>
  <si>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</si>
  <si>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</si>
  <si>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</si>
  <si>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</si>
  <si>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</si>
  <si>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</si>
  <si>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</si>
  <si>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</si>
  <si>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</si>
  <si>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</si>
  <si>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</si>
  <si>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</si>
  <si>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</si>
  <si>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</si>
  <si>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</si>
  <si>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</si>
  <si>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</si>
  <si>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</si>
  <si>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</si>
  <si>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</si>
  <si>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</si>
  <si>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</si>
  <si>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</si>
  <si>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</si>
  <si>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</si>
  <si>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</si>
  <si>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</si>
  <si>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</si>
  <si>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</si>
  <si>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</si>
  <si>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</si>
  <si>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</si>
  <si>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</si>
  <si>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</si>
  <si>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</si>
  <si>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</si>
  <si>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</si>
  <si>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</si>
  <si>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</si>
  <si>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</si>
  <si>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</si>
  <si>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</si>
  <si>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1. Revisión y seguimiento de los proyectos que componen el Sistema de Gestión de Calidad para identificar nuevos trámites, con el fin de garantizar que se publiquen en el portafolio de servicios en el portal y el Sistema Único de Información y Trámites - SUIT, que aplican a los programas especiales.
2.Realizar seguimiento a la gestión ética en el proceso de Programas Especiales, con el fin de fortalecer las actividades y en caso que aplique elaborar planes de mejoramiento.
3. Socializar y aplicar a todo el personal de los proyectos sin excepción las actividades de gestión ética en el proceso de programas especiales.
4. Hacer seguimiento a la conformidad en las respuestas de las PQRSD (De fondo, clara, congruente y oportuna).</t>
  </si>
  <si>
    <t xml:space="preserve">1.Capacitación a funcionarios y contratistas sobre Código disciplinario, Código de Buen Gobierno y Código de Integridad. 2. Implementación de planes de mejoramiento para el fortalecimiento de la gestión ética en cada proceso. 3. Realizar mensualmente análisis de vencimiento de términos a PQRS e implementar acciones tendientes a eliminar las causas de los incumplimientos. </t>
  </si>
  <si>
    <t>Manejar los recursos financieros y/o administración de la información de la entidad en beneficio propio o de terceros.</t>
  </si>
  <si>
    <t>Modificar los documentos de las hojas de vida del personal de planta o extrabajadores para reconocimiento de bonos pensionales</t>
  </si>
  <si>
    <t>1. Controlar el vencimiento de términos de los procesos a partir de la revisión de cada expediente en los procesos que imponen sanciones pecuniarias y disciplinarias</t>
  </si>
  <si>
    <t xml:space="preserve">1. Fortalecer la elaboración de estudios de mercado   a través de la pluralidad de Proveedores que participen en el mismo, de acuerdo con las características del bien y/o servicio que se pretende adquirir. 2. Fortalecer el registro de proveedores a través de la divulgación y convocatorias que realice el Distrito a través de la Secretaria General, con el fin de lograr la pluralidad en el registro. </t>
  </si>
  <si>
    <t>1. Fortalecer al personal con las campañas del programa de ética de la Alcaldía
2. Elaborar mensualmente informes de estado de PQRs por funcionario para implementar acciones de mejora</t>
  </si>
  <si>
    <t>1. Revision semanal de los estados de los expedientes sancionatorios, 2. Capacitación de los funcionarios que tienen a su cargo las apelaciones de los  expedientes sancionatorios</t>
  </si>
  <si>
    <t>1.Generar reportes de comparendos y tasas con deuda de acuerdo al plan de recuperación de cartera para iniciar el proceso de notificación a los deudores. 2. Verificar el proceso de notificación con la empresa de mensajería y continuar el proceso de notificación según lo establecido en el estatuto tributario. 3. Generar reporte de acuerdos de pago incumplidos de comparendos y tasas e iniciar el proceso de Cobro Administrativo Coactivo.</t>
  </si>
  <si>
    <t>1.Socializar con los funcionarios directrices y políticas para las buenas prácticas en la atención de trámites y atención al usuario. 2. Realizar rotación periódica del personal que atiende trámites en las sedes. 3. Monitorear periódicamente tiempos de aprobación de trámites en las diferentes sedes.</t>
  </si>
  <si>
    <t>1. Rotación periódica de los grupos asignados a actividades de IVC (verificación de condiciones de habilitación e IVC). 2. implementar controles en los tiempos de realización de las actividades de los procedimientos tanto de ivc como juridicos. 3.reforzar la retroalimentación con los prestadores de servicios de salud para conocer la percepción delas actividades realizadas por los funcionarios. 4. programar acompañamiento por parte de la jefatura de la oficina en las visitas realizadas.</t>
  </si>
  <si>
    <t>1. Implementación del Plan de gestión etica, 2. Verificacion del cumplimiento de los procedimientos establecidos, sobretodo los puntos de control, 3. Realizar cada cuatro meses monitoreo y revisión de la matriz de riesgos de corrupción, 4. Realizar seguimiento a las Peticiones, Quejas, Reclamos y solicitudes (PQRS), 5. Elaboración de informes financieros trimestrales.</t>
  </si>
  <si>
    <t>1. Involucrar a los funcionarios de la SED en temas referentes al código de la integridad, 2. Realizar mensualmente análisis de vencimiento de términos a PQRS e implementar acciones tendientes a eliminar las causas de los incumplimientos, 3. Auditoría a las respuestas en el sistema de atención al ciudadano SAC, 4. Seguimiento diario a requerimiento por vencer.</t>
  </si>
  <si>
    <t xml:space="preserve">1. Realizar la hoja de servicio en el archivo de historias laborales. 2. Consultar la información en las historias laborales digitalizadas.3. Mantener actualizado el inventario del archivo de historias laborales. 4. Realizar permanentemente el control de préstamos de historias laborales. 5. Generar el certificado de tiempos laborales a través de CETIL. 6. Verificar que la información registrada en CETIL coincida con la información que reposa en la historia laboral. </t>
  </si>
  <si>
    <t>1. Generar reporte de control de vencimiento de términos por inspectores, 2. Identificar los comparendos en audiencia próximos a vencer e Informar a cada inspector para su atención, 3. Generar reporte de control de vencimiento de términos para verificar las acciones realizadas por los inspectores.</t>
  </si>
  <si>
    <t>1. Fortalece al personal con las campaña del programa de etica de la Alcaldia, 2. Elaborar mensualmente informes de estado de PQRs por funcionario para implementar acciones de mejora, 3. Capacitación a los funcionarios que ingresan por primera vez  a la entidad sobre sus derechos, deberes, compatibilidades e incomptabilidades</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</si>
  <si>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 4. Seguimiento apelación de fallo de primera instancia; realizado por jefe de oficina</t>
  </si>
  <si>
    <t>1. Verificar el cumplimiento de los requisitos minimos del cargo a proveer. 2. Revisar que el postulante cumpla con el perfil exigido en el manual de funciones y competencias laborales. 3. Publicar los manuales de funciones y competencias laborales en la página web de la entidad.</t>
  </si>
  <si>
    <t>1.Elaboración de informe de PQR trimestral para revisar oportunidad de respuesta por funcionario</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</si>
  <si>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</si>
  <si>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</si>
  <si>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</si>
  <si>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</si>
  <si>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</si>
  <si>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</si>
  <si>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</si>
  <si>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</si>
  <si>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</si>
  <si>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</si>
  <si>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</si>
  <si>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</si>
  <si>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</si>
  <si>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</si>
  <si>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</si>
  <si>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</si>
  <si>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</si>
  <si>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</si>
  <si>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</si>
  <si>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</si>
  <si>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</si>
  <si>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</si>
  <si>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</si>
  <si>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</si>
  <si>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</si>
  <si>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</si>
  <si>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</si>
  <si>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</si>
  <si>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</si>
  <si>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Informe trimestral elaborado</t>
  </si>
  <si>
    <t xml:space="preserve">En proceso de implementación el plan de mejoramiento para el fortalecimiento de la gestión ética
La capacitación se brinda cuando se presenta el ingreso de nuevos funcionarios 
Se solicitó el informe de PQRS a la oficina atencion al ciudadano el reporte y a la fecha no se ha recibido
Cuando se presente se da el seguimiento apelación de fallo de primera instancia
</t>
  </si>
  <si>
    <t>Fortalecimiento en la elaboraciión de estudios previos para garantizar la pluralidad de proponentes y el registro de proveedores</t>
  </si>
  <si>
    <t>Mensualmente se generó un reporte de cartera con el fin de determinar sobre que obligaciones se va a realizar la gestión de cobro, para no generar actos administrativos sobre obligaciones canceladas. Se generó reporte de los acuerdos de pago incumplidos en el primer trimestre, para iniciar la gestión de cobro de los mismos. Los informes de cartera que se generan mensualmente son para realizar gestión de cobro e implementar acciones que nos permitan realizar un recaudo de la misma. Los reportes de cartera se generan mensualmente  por vigencia de imposición de los comparendos, a la fecha tienen cobro coactivo la cartera de todas las vigencias hasta 2017 que se encuentra en proceso de notificación del mandamiento de pago. Se enviaron masivamente 103.506 mandamientos de pago, estos envíos se realizaron en el mes de marzo y estamos a la  espera que la empresa de mensajería realice la retroalimentacion del estado de los envíos. Una vez se reciba la información por parte de la empresa de mensajería los que se encuentren en estado devuelto serán notificados por publicación para dar por terminado el proceso de notificación del mandamiento. Por otro lado en el primer trimestre de 2019 se han incumplido 1729 acuerdos de pago. Teniendo en cuenta esta información se procederá a imprimir la resolución de incumplimiento y notificarla, para poder dar inicio a la gestión de recuperación de la cartera.</t>
  </si>
  <si>
    <t>Se ravisaron comparendos impuesto entre enero de 2018 y marzo de 2019. Se identifcaron 2065 comparencos que solicitaron audiencia, se revisaron 656 comparendos que se encuentran aun en audiencia para identificar posibles retrasos. Se enviaron correos electrónicos a los inspectores requiriendo celeridad de  los procesos pendientes por fallos y próximos a vencer. Semanalmente se realiza informe y seguimiento de los  comparendos en  audiencia y se envía a los inspectores vía correo electrónico un detallado de cada una de las audiencias a su cargo y estado de los mismos. Se actualiza el funcionamiento de la agenda de audiencias con el fin de equilibrar las cargas en la asignación de las mismas.</t>
  </si>
  <si>
    <t>Semestralmente se realiza rotacion del personal de las sedes de atención al usuario con el fin de evitar reisgos de corrupcion entre los funcionarios y los usuarios que realizan tramites. La ultima rotación se realizó en el mes de febrero, en total se rotaron 20 tecnicos y 16 auxiliares de las sedes de atención al usuario de la Oficina de Registro de Tránsito, aplicando una distribución aleatorea sin repetición para cada sede. Se realiza mensualmente monitoreo de los tiempos de aprobación de trámites radicados en las diferentes sedes, estos resultados se evalúan y analizan trimestralmente obteniendo un tiempo promedio de aprobación de trámites de 7Hr20mins gracias al trabajo articulado entre peresona de Back-Office y de las sede así como al seguimiento diario a las liquidaciones realizadas. Se enviaron correos electronicos sobre el uso adecuado de herramientas tecnológicas, se realizó una capacitaciones sobre modificaciones normativas en el dominio de tránsito, actividades que buscan recordar entre los funcionarios las directrices de trabajo en la atención de trámites y atención al usuario, así como recordar políticas de calidad en el desarrollo de las tareas de la oficina. Se espera desarrollar mensajes y campañas en cada sede alusivos al riesgo de corrupción durante el año.</t>
  </si>
  <si>
    <t>- Se han venido realizando actividades de estimulación a los funcionarios desde el componente etico
- Se crearon 2 nuevos procedimientos
-Se realizo seguimiento al riesgo de corrupcion
-Se realiozaron 2 seguimientos a las PQR en el primer trimestre
- Se realizan constantes seguimientos por la alta dirección a cargos de la secretaria de despacho.</t>
  </si>
  <si>
    <t>1. Se realiza revisión y no se identifican nuevos trámites para registrar.
2. Se están realizando las actividades de acuerdo al Plan Anticorrupción.
3. Socialización del código de integridad con los funcionarios de la dependencia, reforzando valores.
4. El área jurídica reporte en un informe de gestión un análisis y evaluación de las PQRSD mensualmente, elaborando plan de mejoramiento y estado de PQRSD</t>
  </si>
  <si>
    <t>1. 25%
2. 25%
3. 25%
4. 20,79%</t>
  </si>
  <si>
    <t>Se socializan y se comparten todas las campañas que se vienen realizando en la oficina de gestion de riesgo
mensualmente se consolida el estado de las solicitudes o PQRS pendientes con el enlace del sigob</t>
  </si>
  <si>
    <t>1. Revisión semanal se ha venido realizando
2. La capacitación esta programada para el segundo semestre</t>
  </si>
  <si>
    <t>Envio de mensajes alusivos a los valores del codigo de Integridad.
Actividad dirigida a los funcionarios tema(Baúl de los malos habitos)
Se realizo Informe de atención al ciudadano, analizando estadistticas de usuarios atendidos, numero de peticiones radicadas, tipos de requerimiento, medios de recepcion, y PQRS vencidos.
Auditoría de respuesta para el segundo semestre
Se realiza seguimiento diario a requerimientos por vencer</t>
  </si>
  <si>
    <t>1. Realización de actividades pedagógicas- comunicativas para el fortalecimiento de la gestión ética ( envío de mensajes de enseñanza para una mejor convivencia laboral y personal,   por medio del grupo del wassap.Mensualmente en nuestra Cartelera, se colocan  temas alusivos a la Ética, Valores y Clic).  2. Asistencia de los funcionarios nuevos a la inducción sobre los deberes, derechos del servidor público  3. Informe mensuales de PQRSD y análisis de causas sobre el vencimiento de términos.</t>
  </si>
  <si>
    <t xml:space="preserve">1. 25%
2. 25%
3. 25%
</t>
  </si>
  <si>
    <t xml:space="preserve">1. Realizar la hoja de servicio en el archivo de historias laborales.
2. Consultar la información en las historias laborales digitalizadas.
3. Mantener actualizado el inventario del archivo de historias laborales.
4. Realizar permanentemente el control de préstamos de historias laborales
5. Generar el certificado de tiempos laborales a través de CETIL
6. Verificar que la información registrada en CETIL coincida con la información que reposa en la historia laboral. </t>
  </si>
  <si>
    <t>1. 25%
2. 25%
3. 25%
4. 25%
5, 25%</t>
  </si>
  <si>
    <t xml:space="preserve">1. Se verifica que los aspirantes cumplan con los requisitos minimos exigidos en el manual de funciones y competencias laborales, revisando los documentos aportados. 
2.Los manuales de funciones vigentes se encuentran disponibles en la página web de la entidad link:https://www.barranquilla.gov.co/transparencia/estructura-organica-y-talento-humano/funciones-
</t>
  </si>
  <si>
    <t>1. 25%
2. 25%</t>
  </si>
  <si>
    <t xml:space="preserve">1. 25%
2. 25%
</t>
  </si>
  <si>
    <t>1.Se controla de manera permanente el vencimiento de términos</t>
  </si>
  <si>
    <t xml:space="preserve">En proceso de implementación el plan de mejoramiento para el fortalecimiento de la gestión ética
La capacitación se brinda cuando se presenta el ingreso de nuevos funcionarios 
Informe de PQRS enviado por la oficina atencion al ciudadano </t>
  </si>
  <si>
    <t xml:space="preserve">Se realizó rotación de los grupos de IVC y de verificación.
Se implementaron los controles en tiempos de realización de informas de visita así como apertura de procesos jurídicos.
Se ha realizado entrevistas con los prestadores que han sido visitados para fines de retroalimentación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</si>
</sst>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2">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8" fillId="0" borderId="0" applyFont="0" applyFill="0" applyBorder="0" applyAlignment="0" applyProtection="0"/>
  </cellStyleXfs>
  <cellXfs count="156">
    <xf numFmtId="0" fontId="0" fillId="0" borderId="0" xfId="0"/>
    <xf numFmtId="0" fontId="0" fillId="0" borderId="0" xfId="0" applyProtection="1"/>
    <xf numFmtId="0" fontId="1"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4"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6" fillId="0" borderId="0" xfId="0" applyFont="1" applyProtection="1"/>
    <xf numFmtId="0" fontId="6"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horizontal="left" vertical="center"/>
    </xf>
    <xf numFmtId="0" fontId="8" fillId="0" borderId="0" xfId="0" applyFont="1" applyAlignment="1" applyProtection="1">
      <alignment vertical="center"/>
    </xf>
    <xf numFmtId="0" fontId="1" fillId="4" borderId="0" xfId="0"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left"/>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3" fillId="0" borderId="2" xfId="0" applyFont="1" applyBorder="1" applyAlignment="1" applyProtection="1">
      <alignment horizontal="left" vertical="center"/>
      <protection locked="0"/>
    </xf>
    <xf numFmtId="164" fontId="14"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xf>
    <xf numFmtId="0" fontId="13"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9" fillId="5" borderId="0" xfId="0" applyFont="1" applyFill="1" applyAlignment="1">
      <alignment vertical="top" wrapText="1"/>
    </xf>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protection locked="0"/>
    </xf>
    <xf numFmtId="0" fontId="18" fillId="0" borderId="0" xfId="0" applyFont="1" applyProtection="1"/>
    <xf numFmtId="0" fontId="17" fillId="2" borderId="1" xfId="0" applyFont="1" applyFill="1" applyBorder="1" applyAlignment="1" applyProtection="1">
      <alignment horizontal="center" vertical="center"/>
    </xf>
    <xf numFmtId="0" fontId="23" fillId="0" borderId="0" xfId="0" applyFont="1" applyProtection="1"/>
    <xf numFmtId="0" fontId="18"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0" borderId="1" xfId="0" applyFont="1" applyBorder="1" applyProtection="1"/>
    <xf numFmtId="0" fontId="18" fillId="3" borderId="1" xfId="0" applyFont="1" applyFill="1" applyBorder="1" applyProtection="1"/>
    <xf numFmtId="0" fontId="18" fillId="0" borderId="7" xfId="0" applyFont="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164" fontId="17" fillId="0" borderId="9" xfId="0" applyNumberFormat="1" applyFont="1" applyFill="1" applyBorder="1" applyAlignment="1" applyProtection="1">
      <alignment horizontal="center" vertical="center"/>
    </xf>
    <xf numFmtId="164" fontId="17" fillId="0" borderId="7" xfId="0" applyNumberFormat="1" applyFont="1" applyFill="1" applyBorder="1" applyAlignment="1" applyProtection="1">
      <alignment horizontal="center" vertical="center"/>
    </xf>
    <xf numFmtId="164" fontId="17" fillId="15" borderId="7"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22" fillId="8" borderId="11"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17" fillId="0" borderId="13"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3" borderId="17"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17" xfId="0" applyFont="1" applyBorder="1" applyAlignment="1" applyProtection="1">
      <alignment horizontal="center" vertical="center" wrapText="1"/>
      <protection locked="0"/>
    </xf>
    <xf numFmtId="164" fontId="17" fillId="0" borderId="17" xfId="0" applyNumberFormat="1" applyFont="1" applyFill="1" applyBorder="1" applyAlignment="1" applyProtection="1">
      <alignment horizontal="center" vertical="center"/>
    </xf>
    <xf numFmtId="0" fontId="22" fillId="4" borderId="15"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top" wrapText="1"/>
    </xf>
    <xf numFmtId="0" fontId="18" fillId="0" borderId="0" xfId="0" applyFont="1" applyBorder="1" applyProtection="1"/>
    <xf numFmtId="0" fontId="18" fillId="3" borderId="0" xfId="0" applyFont="1" applyFill="1" applyBorder="1" applyProtection="1"/>
    <xf numFmtId="0" fontId="0" fillId="3" borderId="0" xfId="0" applyFill="1" applyBorder="1" applyProtection="1"/>
    <xf numFmtId="0" fontId="17" fillId="3" borderId="18" xfId="0" applyFont="1" applyFill="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xf>
    <xf numFmtId="0" fontId="24" fillId="0" borderId="11"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1" fontId="17" fillId="15" borderId="23" xfId="0" applyNumberFormat="1" applyFont="1" applyFill="1" applyBorder="1" applyAlignment="1" applyProtection="1">
      <alignment horizontal="center" vertical="center"/>
    </xf>
    <xf numFmtId="1" fontId="17" fillId="15" borderId="24" xfId="0" applyNumberFormat="1" applyFont="1" applyFill="1" applyBorder="1" applyAlignment="1" applyProtection="1">
      <alignment horizontal="center" vertical="center"/>
    </xf>
    <xf numFmtId="1" fontId="17" fillId="15" borderId="25" xfId="0" applyNumberFormat="1" applyFont="1" applyFill="1" applyBorder="1" applyAlignment="1" applyProtection="1">
      <alignment horizontal="center" vertical="center"/>
    </xf>
    <xf numFmtId="0" fontId="4" fillId="0" borderId="7" xfId="0" applyFont="1" applyBorder="1" applyAlignment="1" applyProtection="1">
      <alignment horizontal="center" wrapText="1"/>
    </xf>
    <xf numFmtId="0" fontId="18" fillId="0" borderId="7" xfId="0" applyFont="1" applyBorder="1" applyProtection="1"/>
    <xf numFmtId="0" fontId="4" fillId="0" borderId="7" xfId="0" applyFont="1" applyBorder="1" applyProtection="1"/>
    <xf numFmtId="0" fontId="17" fillId="16" borderId="7" xfId="0" applyFont="1" applyFill="1" applyBorder="1" applyAlignment="1">
      <alignment horizontal="justify" vertical="center"/>
    </xf>
    <xf numFmtId="0" fontId="17" fillId="16" borderId="7" xfId="0" applyFont="1" applyFill="1" applyBorder="1" applyAlignment="1">
      <alignment horizontal="center"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1" fillId="0" borderId="0" xfId="0" applyFont="1" applyAlignment="1" applyProtection="1">
      <alignment vertical="center"/>
      <protection locked="0"/>
    </xf>
    <xf numFmtId="0" fontId="21" fillId="17" borderId="27" xfId="0" applyFont="1" applyFill="1" applyBorder="1" applyAlignment="1" applyProtection="1">
      <alignment vertical="center"/>
      <protection locked="0"/>
    </xf>
    <xf numFmtId="0" fontId="21" fillId="17" borderId="28" xfId="0" applyFont="1" applyFill="1" applyBorder="1" applyAlignment="1" applyProtection="1">
      <alignment vertical="center"/>
      <protection locked="0"/>
    </xf>
    <xf numFmtId="0" fontId="24" fillId="0"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2" xfId="0" applyFont="1" applyBorder="1" applyAlignment="1">
      <alignment vertical="center" wrapText="1"/>
    </xf>
    <xf numFmtId="0" fontId="27" fillId="0" borderId="35" xfId="0" applyFont="1" applyBorder="1" applyAlignment="1">
      <alignment vertical="center" wrapText="1"/>
    </xf>
    <xf numFmtId="9" fontId="18" fillId="0" borderId="7" xfId="0" applyNumberFormat="1" applyFont="1" applyBorder="1" applyProtection="1"/>
    <xf numFmtId="0" fontId="18" fillId="0" borderId="7" xfId="0" applyFont="1" applyBorder="1" applyAlignment="1" applyProtection="1">
      <alignment wrapText="1"/>
    </xf>
    <xf numFmtId="0" fontId="18" fillId="0" borderId="7" xfId="0" applyFont="1" applyBorder="1" applyAlignment="1" applyProtection="1">
      <alignment vertical="center" wrapText="1"/>
    </xf>
    <xf numFmtId="9" fontId="3" fillId="0" borderId="7" xfId="11" applyFont="1" applyBorder="1" applyAlignment="1" applyProtection="1">
      <alignment horizontal="center" vertical="center" wrapText="1"/>
    </xf>
    <xf numFmtId="9" fontId="18" fillId="0" borderId="7" xfId="11" applyFont="1" applyBorder="1" applyAlignment="1" applyProtection="1">
      <alignment horizontal="center" vertical="center"/>
    </xf>
    <xf numFmtId="9" fontId="3" fillId="0" borderId="7" xfId="0" applyNumberFormat="1" applyFont="1" applyBorder="1" applyAlignment="1" applyProtection="1">
      <alignment horizontal="center" vertical="center"/>
    </xf>
    <xf numFmtId="49" fontId="18" fillId="0" borderId="7" xfId="0" applyNumberFormat="1" applyFont="1" applyBorder="1" applyAlignment="1" applyProtection="1">
      <alignment vertical="top" wrapText="1"/>
    </xf>
    <xf numFmtId="0" fontId="18" fillId="0" borderId="7" xfId="0" applyFont="1" applyBorder="1" applyAlignment="1" applyProtection="1">
      <alignment horizontal="center" vertical="center"/>
    </xf>
    <xf numFmtId="0" fontId="18" fillId="0" borderId="7" xfId="0" applyFont="1" applyBorder="1" applyAlignment="1">
      <alignment vertical="center" wrapText="1"/>
    </xf>
    <xf numFmtId="9" fontId="18" fillId="0" borderId="7" xfId="0" applyNumberFormat="1" applyFont="1" applyBorder="1" applyAlignment="1" applyProtection="1">
      <alignment wrapText="1"/>
    </xf>
    <xf numFmtId="0" fontId="18" fillId="0" borderId="7" xfId="0" applyFont="1" applyBorder="1" applyAlignment="1" applyProtection="1">
      <alignment horizontal="justify" vertical="center" wrapText="1"/>
      <protection locked="0"/>
    </xf>
    <xf numFmtId="9" fontId="18" fillId="0" borderId="7" xfId="0" applyNumberFormat="1" applyFont="1" applyBorder="1" applyAlignment="1" applyProtection="1">
      <alignment horizontal="center" vertical="center"/>
    </xf>
    <xf numFmtId="0" fontId="18" fillId="0" borderId="7" xfId="0" applyFont="1" applyBorder="1" applyAlignment="1" applyProtection="1">
      <alignment vertical="top" wrapText="1"/>
    </xf>
    <xf numFmtId="0" fontId="17" fillId="16" borderId="7"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8" fillId="0" borderId="10" xfId="0" applyFont="1" applyBorder="1" applyAlignment="1"/>
    <xf numFmtId="0" fontId="22" fillId="8" borderId="11"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21" xfId="0" applyFont="1" applyFill="1" applyBorder="1" applyAlignment="1" applyProtection="1">
      <alignment horizontal="center" vertical="center" wrapText="1"/>
    </xf>
    <xf numFmtId="0" fontId="22" fillId="8" borderId="22"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xf>
    <xf numFmtId="0" fontId="27" fillId="0" borderId="31"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Porcentaje" xfId="11" builtinId="5"/>
  </cellStyles>
  <dxfs count="4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14</xdr:col>
      <xdr:colOff>901243</xdr:colOff>
      <xdr:row>37</xdr:row>
      <xdr:rowOff>41274</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9</xdr:col>
      <xdr:colOff>567966</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ORRALES\AppData\Local\Microsoft\Windows\Temporary%20Internet%20Files\Content.Outlook\4H0VZGUR\SDTSV%20-%20RiesgosyOportunidades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DIAZM/Downloads/Matriz%20de%20Corrupci&#243;n%20SED%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Lista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view="pageBreakPreview" topLeftCell="F3" zoomScale="83" zoomScaleNormal="83" zoomScaleSheetLayoutView="83" workbookViewId="0">
      <selection activeCell="J21" sqref="J21"/>
    </sheetView>
  </sheetViews>
  <sheetFormatPr baseColWidth="10" defaultColWidth="9.140625" defaultRowHeight="14.25" x14ac:dyDescent="0.2"/>
  <cols>
    <col min="1" max="1" width="4.85546875" style="5" customWidth="1"/>
    <col min="2" max="2" width="20.42578125" style="5" customWidth="1"/>
    <col min="3" max="3" width="33.5703125" style="6" customWidth="1"/>
    <col min="4" max="4" width="21.140625" style="62" hidden="1" customWidth="1"/>
    <col min="5" max="5" width="22.140625" style="6" customWidth="1"/>
    <col min="6" max="6" width="11.5703125" style="6" customWidth="1"/>
    <col min="7" max="7" width="14.7109375" style="6" customWidth="1"/>
    <col min="8" max="8" width="15" style="6" customWidth="1"/>
    <col min="9" max="9" width="10.140625" style="6" customWidth="1"/>
    <col min="10" max="10" width="61.28515625" style="14" customWidth="1"/>
    <col min="11" max="11" width="17.28515625" style="3" bestFit="1" customWidth="1"/>
    <col min="12" max="12" width="27.85546875" style="3" customWidth="1"/>
    <col min="13" max="13" width="20.5703125" style="3" customWidth="1"/>
    <col min="14" max="14" width="14.42578125" style="3" customWidth="1"/>
    <col min="15" max="15" width="22.7109375" style="3" customWidth="1"/>
    <col min="16" max="16" width="12" style="3" customWidth="1"/>
    <col min="17" max="17" width="22.28515625" style="3" customWidth="1"/>
    <col min="18" max="18" width="16" style="3" customWidth="1"/>
    <col min="19" max="19" width="21" style="3" customWidth="1"/>
    <col min="20" max="16384" width="9.140625" style="3"/>
  </cols>
  <sheetData>
    <row r="1" spans="1:19" ht="15" hidden="1" thickBot="1" x14ac:dyDescent="0.25"/>
    <row r="2" spans="1:19" s="4" customFormat="1" ht="15" hidden="1" thickBot="1" x14ac:dyDescent="0.25">
      <c r="A2" s="130" t="s">
        <v>90</v>
      </c>
      <c r="B2" s="131"/>
      <c r="C2" s="131"/>
      <c r="D2" s="131"/>
      <c r="E2" s="131"/>
      <c r="F2" s="131"/>
      <c r="G2" s="131"/>
      <c r="H2" s="131"/>
      <c r="I2" s="131"/>
      <c r="J2" s="131"/>
      <c r="K2" s="131"/>
      <c r="L2" s="87"/>
      <c r="M2" s="87"/>
      <c r="N2" s="87"/>
      <c r="O2" s="87"/>
      <c r="P2" s="87"/>
      <c r="Q2" s="87"/>
      <c r="R2" s="87"/>
      <c r="S2" s="87"/>
    </row>
    <row r="3" spans="1:19" ht="51" customHeight="1" x14ac:dyDescent="0.2">
      <c r="A3" s="136" t="s">
        <v>87</v>
      </c>
      <c r="B3" s="138" t="s">
        <v>124</v>
      </c>
      <c r="C3" s="138" t="s">
        <v>19</v>
      </c>
      <c r="D3" s="132" t="s">
        <v>114</v>
      </c>
      <c r="E3" s="132"/>
      <c r="F3" s="132" t="s">
        <v>59</v>
      </c>
      <c r="G3" s="64" t="s">
        <v>116</v>
      </c>
      <c r="H3" s="132" t="s">
        <v>60</v>
      </c>
      <c r="I3" s="132" t="s">
        <v>89</v>
      </c>
      <c r="J3" s="65" t="s">
        <v>61</v>
      </c>
      <c r="K3" s="134" t="s">
        <v>97</v>
      </c>
      <c r="L3" s="129" t="s">
        <v>125</v>
      </c>
      <c r="M3" s="129"/>
      <c r="N3" s="129" t="s">
        <v>126</v>
      </c>
      <c r="O3" s="129"/>
      <c r="P3" s="129" t="s">
        <v>127</v>
      </c>
      <c r="Q3" s="129"/>
      <c r="R3" s="129" t="s">
        <v>128</v>
      </c>
      <c r="S3" s="129"/>
    </row>
    <row r="4" spans="1:19" ht="58.5" customHeight="1" thickBot="1" x14ac:dyDescent="0.25">
      <c r="A4" s="137"/>
      <c r="B4" s="139"/>
      <c r="C4" s="139"/>
      <c r="D4" s="72" t="s">
        <v>115</v>
      </c>
      <c r="E4" s="72" t="s">
        <v>113</v>
      </c>
      <c r="F4" s="133"/>
      <c r="G4" s="72" t="s">
        <v>117</v>
      </c>
      <c r="H4" s="133"/>
      <c r="I4" s="133"/>
      <c r="J4" s="73" t="str">
        <f>Listas!V18</f>
        <v>(Requerido para los factores de riesgo &gt;=8, 
sugerido para factores de riesgo entre 5 y 8)</v>
      </c>
      <c r="K4" s="135"/>
      <c r="L4" s="91" t="s">
        <v>129</v>
      </c>
      <c r="M4" s="90" t="s">
        <v>130</v>
      </c>
      <c r="N4" s="90" t="s">
        <v>129</v>
      </c>
      <c r="O4" s="90" t="s">
        <v>130</v>
      </c>
      <c r="P4" s="90" t="s">
        <v>129</v>
      </c>
      <c r="Q4" s="90" t="s">
        <v>130</v>
      </c>
      <c r="R4" s="90" t="s">
        <v>129</v>
      </c>
      <c r="S4" s="90" t="s">
        <v>130</v>
      </c>
    </row>
    <row r="5" spans="1:19" ht="48" customHeight="1" x14ac:dyDescent="0.2">
      <c r="A5" s="67">
        <v>1</v>
      </c>
      <c r="B5" s="68" t="s">
        <v>183</v>
      </c>
      <c r="C5" s="69" t="s">
        <v>187</v>
      </c>
      <c r="D5" s="70"/>
      <c r="E5" s="55" t="s">
        <v>103</v>
      </c>
      <c r="F5" s="71">
        <v>1</v>
      </c>
      <c r="G5" s="55" t="s">
        <v>111</v>
      </c>
      <c r="H5" s="71">
        <v>4</v>
      </c>
      <c r="I5" s="60">
        <v>4</v>
      </c>
      <c r="J5" s="69" t="s">
        <v>210</v>
      </c>
      <c r="K5" s="84">
        <f>'Calificacion Controles'!AD4</f>
        <v>0</v>
      </c>
      <c r="L5" s="128" t="s">
        <v>257</v>
      </c>
      <c r="M5" s="117" t="s">
        <v>258</v>
      </c>
      <c r="N5" s="89"/>
      <c r="O5" s="89"/>
      <c r="P5" s="89"/>
      <c r="Q5" s="89"/>
      <c r="R5" s="89"/>
      <c r="S5" s="89"/>
    </row>
    <row r="6" spans="1:19" ht="69" customHeight="1" x14ac:dyDescent="0.2">
      <c r="A6" s="66">
        <f>A5+1</f>
        <v>2</v>
      </c>
      <c r="B6" s="56" t="s">
        <v>176</v>
      </c>
      <c r="C6" s="69" t="s">
        <v>188</v>
      </c>
      <c r="D6" s="55" t="s">
        <v>100</v>
      </c>
      <c r="E6" s="55" t="s">
        <v>105</v>
      </c>
      <c r="F6" s="71">
        <v>3</v>
      </c>
      <c r="G6" s="55" t="s">
        <v>111</v>
      </c>
      <c r="H6" s="59">
        <v>4</v>
      </c>
      <c r="I6" s="60">
        <f t="shared" ref="I6:I12" si="0">+H6*F6</f>
        <v>12</v>
      </c>
      <c r="J6" s="53" t="s">
        <v>201</v>
      </c>
      <c r="K6" s="84">
        <f>'Calificacion Controles'!AD5</f>
        <v>4</v>
      </c>
      <c r="L6" s="118" t="s">
        <v>244</v>
      </c>
      <c r="M6" s="119">
        <v>0.25</v>
      </c>
      <c r="N6" s="89"/>
      <c r="O6" s="89"/>
      <c r="P6" s="89"/>
      <c r="Q6" s="89"/>
      <c r="R6" s="89"/>
      <c r="S6" s="89"/>
    </row>
    <row r="7" spans="1:19" ht="48" customHeight="1" x14ac:dyDescent="0.2">
      <c r="A7" s="66">
        <f>A6+1</f>
        <v>3</v>
      </c>
      <c r="B7" s="77" t="s">
        <v>176</v>
      </c>
      <c r="C7" s="69" t="s">
        <v>190</v>
      </c>
      <c r="D7" s="55" t="s">
        <v>100</v>
      </c>
      <c r="E7" s="55" t="s">
        <v>105</v>
      </c>
      <c r="F7" s="71">
        <v>3</v>
      </c>
      <c r="G7" s="55" t="s">
        <v>111</v>
      </c>
      <c r="H7" s="59">
        <v>4</v>
      </c>
      <c r="I7" s="60">
        <f t="shared" si="0"/>
        <v>12</v>
      </c>
      <c r="J7" s="53" t="s">
        <v>202</v>
      </c>
      <c r="K7" s="84">
        <f>'Calificacion Controles'!AD6</f>
        <v>2.3999999999999995</v>
      </c>
      <c r="L7" s="118" t="s">
        <v>246</v>
      </c>
      <c r="M7" s="121">
        <v>0.25</v>
      </c>
      <c r="N7" s="89"/>
      <c r="O7" s="89"/>
      <c r="P7" s="89"/>
      <c r="Q7" s="89"/>
      <c r="R7" s="89"/>
      <c r="S7" s="89"/>
    </row>
    <row r="8" spans="1:19" ht="57" customHeight="1" x14ac:dyDescent="0.2">
      <c r="A8" s="66">
        <f t="shared" ref="A8:A21" si="1">A7+1</f>
        <v>4</v>
      </c>
      <c r="B8" s="56" t="s">
        <v>185</v>
      </c>
      <c r="C8" s="69" t="s">
        <v>191</v>
      </c>
      <c r="D8" s="55" t="s">
        <v>99</v>
      </c>
      <c r="E8" s="55" t="s">
        <v>192</v>
      </c>
      <c r="F8" s="71">
        <v>2</v>
      </c>
      <c r="G8" s="55" t="s">
        <v>111</v>
      </c>
      <c r="H8" s="59">
        <v>4</v>
      </c>
      <c r="I8" s="60">
        <f t="shared" si="0"/>
        <v>8</v>
      </c>
      <c r="J8" s="53" t="s">
        <v>198</v>
      </c>
      <c r="K8" s="84">
        <f>'Calificacion Controles'!AD7</f>
        <v>2.4000000000000004</v>
      </c>
      <c r="L8" s="118" t="s">
        <v>243</v>
      </c>
      <c r="M8" s="116">
        <v>0.8</v>
      </c>
      <c r="N8" s="89"/>
      <c r="O8" s="89"/>
      <c r="P8" s="89"/>
      <c r="Q8" s="89"/>
      <c r="R8" s="89"/>
      <c r="S8" s="89"/>
    </row>
    <row r="9" spans="1:19" ht="108" customHeight="1" x14ac:dyDescent="0.2">
      <c r="A9" s="66">
        <v>5</v>
      </c>
      <c r="B9" s="56" t="s">
        <v>183</v>
      </c>
      <c r="C9" s="69" t="s">
        <v>196</v>
      </c>
      <c r="D9" s="55" t="s">
        <v>99</v>
      </c>
      <c r="E9" s="55" t="s">
        <v>192</v>
      </c>
      <c r="F9" s="71">
        <v>2</v>
      </c>
      <c r="G9" s="55" t="s">
        <v>111</v>
      </c>
      <c r="H9" s="59">
        <v>4</v>
      </c>
      <c r="I9" s="60">
        <f t="shared" si="0"/>
        <v>8</v>
      </c>
      <c r="J9" s="53" t="s">
        <v>206</v>
      </c>
      <c r="K9" s="84">
        <f>'Calificacion Controles'!AD8</f>
        <v>2.5599999999999996</v>
      </c>
      <c r="L9" s="117" t="s">
        <v>255</v>
      </c>
      <c r="M9" s="125" t="s">
        <v>256</v>
      </c>
      <c r="N9" s="89"/>
      <c r="O9" s="89"/>
      <c r="P9" s="89"/>
      <c r="Q9" s="89"/>
      <c r="R9" s="89"/>
      <c r="S9" s="89"/>
    </row>
    <row r="10" spans="1:19" ht="69.75" customHeight="1" x14ac:dyDescent="0.2">
      <c r="A10" s="66">
        <f t="shared" si="1"/>
        <v>6</v>
      </c>
      <c r="B10" s="57" t="s">
        <v>182</v>
      </c>
      <c r="C10" s="69" t="s">
        <v>189</v>
      </c>
      <c r="D10" s="55" t="s">
        <v>100</v>
      </c>
      <c r="E10" s="55" t="s">
        <v>105</v>
      </c>
      <c r="F10" s="71">
        <v>2</v>
      </c>
      <c r="G10" s="55" t="s">
        <v>111</v>
      </c>
      <c r="H10" s="59">
        <v>4</v>
      </c>
      <c r="I10" s="60">
        <v>12</v>
      </c>
      <c r="J10" s="53" t="s">
        <v>200</v>
      </c>
      <c r="K10" s="84">
        <f>'Calificacion Controles'!AD9</f>
        <v>0</v>
      </c>
      <c r="L10" s="117" t="s">
        <v>251</v>
      </c>
      <c r="M10" s="125" t="s">
        <v>259</v>
      </c>
      <c r="N10" s="89"/>
      <c r="O10" s="89"/>
      <c r="P10" s="89"/>
      <c r="Q10" s="89"/>
      <c r="R10" s="89"/>
      <c r="S10" s="89"/>
    </row>
    <row r="11" spans="1:19" ht="50.25" customHeight="1" x14ac:dyDescent="0.2">
      <c r="A11" s="66">
        <f t="shared" si="1"/>
        <v>7</v>
      </c>
      <c r="B11" s="56" t="s">
        <v>186</v>
      </c>
      <c r="C11" s="69" t="s">
        <v>189</v>
      </c>
      <c r="D11" s="55" t="s">
        <v>98</v>
      </c>
      <c r="E11" s="55" t="s">
        <v>103</v>
      </c>
      <c r="F11" s="71">
        <v>1</v>
      </c>
      <c r="G11" s="55" t="s">
        <v>111</v>
      </c>
      <c r="H11" s="59">
        <v>4</v>
      </c>
      <c r="I11" s="60">
        <f t="shared" si="0"/>
        <v>4</v>
      </c>
      <c r="J11" s="53" t="s">
        <v>197</v>
      </c>
      <c r="K11" s="84">
        <f>'Calificacion Controles'!AD10</f>
        <v>0.79999999999999982</v>
      </c>
      <c r="L11" s="117" t="s">
        <v>260</v>
      </c>
      <c r="M11" s="116">
        <v>0.25</v>
      </c>
      <c r="N11" s="89"/>
      <c r="O11" s="89"/>
      <c r="P11" s="89"/>
      <c r="Q11" s="89"/>
      <c r="R11" s="89"/>
      <c r="S11" s="89"/>
    </row>
    <row r="12" spans="1:19" ht="82.5" customHeight="1" x14ac:dyDescent="0.2">
      <c r="A12" s="66">
        <f t="shared" si="1"/>
        <v>8</v>
      </c>
      <c r="B12" s="56" t="s">
        <v>168</v>
      </c>
      <c r="C12" s="69" t="s">
        <v>190</v>
      </c>
      <c r="D12" s="55" t="s">
        <v>100</v>
      </c>
      <c r="E12" s="55" t="s">
        <v>105</v>
      </c>
      <c r="F12" s="71">
        <v>3</v>
      </c>
      <c r="G12" s="55" t="s">
        <v>111</v>
      </c>
      <c r="H12" s="59">
        <v>4</v>
      </c>
      <c r="I12" s="60">
        <f t="shared" si="0"/>
        <v>12</v>
      </c>
      <c r="J12" s="53" t="s">
        <v>203</v>
      </c>
      <c r="K12" s="84">
        <f>'Calificacion Controles'!AD11</f>
        <v>1.8000000000000003</v>
      </c>
      <c r="L12" s="117" t="s">
        <v>262</v>
      </c>
      <c r="M12" s="116">
        <v>0.25</v>
      </c>
      <c r="N12" s="89"/>
      <c r="O12" s="89"/>
      <c r="P12" s="89"/>
      <c r="Q12" s="89"/>
      <c r="R12" s="89"/>
      <c r="S12" s="89"/>
    </row>
    <row r="13" spans="1:19" ht="33.75" customHeight="1" x14ac:dyDescent="0.2">
      <c r="A13" s="66">
        <f t="shared" si="1"/>
        <v>9</v>
      </c>
      <c r="B13" s="56" t="s">
        <v>164</v>
      </c>
      <c r="C13" s="69" t="s">
        <v>190</v>
      </c>
      <c r="D13" s="55" t="s">
        <v>99</v>
      </c>
      <c r="E13" s="55" t="s">
        <v>104</v>
      </c>
      <c r="F13" s="71">
        <v>2</v>
      </c>
      <c r="G13" s="55" t="s">
        <v>109</v>
      </c>
      <c r="H13" s="59">
        <v>2</v>
      </c>
      <c r="I13" s="60">
        <f>+H13*F13</f>
        <v>4</v>
      </c>
      <c r="J13" s="53" t="s">
        <v>211</v>
      </c>
      <c r="K13" s="84">
        <f>'Calificacion Controles'!AD12</f>
        <v>0.79999999999999982</v>
      </c>
      <c r="L13" s="88" t="s">
        <v>241</v>
      </c>
      <c r="M13" s="116">
        <v>0.25</v>
      </c>
      <c r="N13" s="89"/>
      <c r="O13" s="89"/>
      <c r="P13" s="89"/>
      <c r="Q13" s="89"/>
      <c r="R13" s="89"/>
      <c r="S13" s="89"/>
    </row>
    <row r="14" spans="1:19" ht="69.75" customHeight="1" x14ac:dyDescent="0.2">
      <c r="A14" s="66">
        <f t="shared" si="1"/>
        <v>10</v>
      </c>
      <c r="B14" s="56" t="s">
        <v>166</v>
      </c>
      <c r="C14" s="69" t="s">
        <v>195</v>
      </c>
      <c r="D14" s="55" t="s">
        <v>98</v>
      </c>
      <c r="E14" s="55" t="s">
        <v>103</v>
      </c>
      <c r="F14" s="71">
        <v>1</v>
      </c>
      <c r="G14" s="55" t="s">
        <v>111</v>
      </c>
      <c r="H14" s="59">
        <v>4</v>
      </c>
      <c r="I14" s="60">
        <f>+H14*F14</f>
        <v>4</v>
      </c>
      <c r="J14" s="53" t="s">
        <v>204</v>
      </c>
      <c r="K14" s="84">
        <f>'Calificacion Controles'!AD13</f>
        <v>0</v>
      </c>
      <c r="L14" s="122" t="s">
        <v>247</v>
      </c>
      <c r="M14" s="123">
        <v>25</v>
      </c>
      <c r="N14" s="89"/>
      <c r="O14" s="89"/>
      <c r="P14" s="89"/>
      <c r="Q14" s="89"/>
      <c r="R14" s="89"/>
      <c r="S14" s="89"/>
    </row>
    <row r="15" spans="1:19" ht="60" customHeight="1" x14ac:dyDescent="0.2">
      <c r="A15" s="66">
        <f t="shared" si="1"/>
        <v>11</v>
      </c>
      <c r="B15" s="56" t="s">
        <v>169</v>
      </c>
      <c r="C15" s="69" t="s">
        <v>190</v>
      </c>
      <c r="D15" s="55" t="s">
        <v>100</v>
      </c>
      <c r="E15" s="55" t="s">
        <v>105</v>
      </c>
      <c r="F15" s="71">
        <v>3</v>
      </c>
      <c r="G15" s="55" t="s">
        <v>111</v>
      </c>
      <c r="H15" s="59">
        <v>4</v>
      </c>
      <c r="I15" s="60">
        <f>+H15*F15</f>
        <v>12</v>
      </c>
      <c r="J15" s="53" t="s">
        <v>205</v>
      </c>
      <c r="K15" s="84">
        <f>'Calificacion Controles'!AD14</f>
        <v>0</v>
      </c>
      <c r="L15" s="126" t="s">
        <v>252</v>
      </c>
      <c r="M15" s="127">
        <v>0.25</v>
      </c>
      <c r="N15" s="89"/>
      <c r="O15" s="89"/>
      <c r="P15" s="89"/>
      <c r="Q15" s="89"/>
      <c r="R15" s="89"/>
      <c r="S15" s="89"/>
    </row>
    <row r="16" spans="1:19" ht="135" customHeight="1" x14ac:dyDescent="0.2">
      <c r="A16" s="66">
        <f t="shared" si="1"/>
        <v>12</v>
      </c>
      <c r="B16" s="56" t="s">
        <v>171</v>
      </c>
      <c r="C16" s="69" t="s">
        <v>190</v>
      </c>
      <c r="D16" s="55" t="s">
        <v>100</v>
      </c>
      <c r="E16" s="55" t="s">
        <v>105</v>
      </c>
      <c r="F16" s="71">
        <v>3</v>
      </c>
      <c r="G16" s="55" t="s">
        <v>110</v>
      </c>
      <c r="H16" s="59">
        <v>3</v>
      </c>
      <c r="I16" s="60">
        <f t="shared" ref="I16:I21" si="2">+H16*F16</f>
        <v>9</v>
      </c>
      <c r="J16" s="53" t="s">
        <v>193</v>
      </c>
      <c r="K16" s="84">
        <f>'Calificacion Controles'!AD15</f>
        <v>1.7999999999999996</v>
      </c>
      <c r="L16" s="124" t="s">
        <v>248</v>
      </c>
      <c r="M16" s="125" t="s">
        <v>249</v>
      </c>
      <c r="N16" s="89"/>
      <c r="O16" s="89"/>
      <c r="P16" s="89"/>
      <c r="Q16" s="89"/>
      <c r="R16" s="89"/>
      <c r="S16" s="89"/>
    </row>
    <row r="17" spans="1:19" ht="55.5" customHeight="1" x14ac:dyDescent="0.2">
      <c r="A17" s="66">
        <f t="shared" si="1"/>
        <v>13</v>
      </c>
      <c r="B17" s="56" t="s">
        <v>176</v>
      </c>
      <c r="C17" s="54" t="s">
        <v>189</v>
      </c>
      <c r="D17" s="55" t="s">
        <v>100</v>
      </c>
      <c r="E17" s="55" t="s">
        <v>105</v>
      </c>
      <c r="F17" s="71">
        <v>3</v>
      </c>
      <c r="G17" s="55" t="s">
        <v>111</v>
      </c>
      <c r="H17" s="59">
        <v>4</v>
      </c>
      <c r="I17" s="60">
        <f>+H17*F17</f>
        <v>12</v>
      </c>
      <c r="J17" s="53" t="s">
        <v>207</v>
      </c>
      <c r="K17" s="84">
        <f>'Calificacion Controles'!AD16</f>
        <v>0.79999999999999982</v>
      </c>
      <c r="L17" s="118" t="s">
        <v>245</v>
      </c>
      <c r="M17" s="120">
        <v>0.25</v>
      </c>
      <c r="N17" s="89"/>
      <c r="O17" s="89"/>
      <c r="P17" s="89"/>
      <c r="Q17" s="89"/>
      <c r="R17" s="89"/>
      <c r="S17" s="89"/>
    </row>
    <row r="18" spans="1:19" ht="72" customHeight="1" thickBot="1" x14ac:dyDescent="0.25">
      <c r="A18" s="66">
        <f>A17+1</f>
        <v>14</v>
      </c>
      <c r="B18" s="77" t="s">
        <v>172</v>
      </c>
      <c r="C18" s="69" t="s">
        <v>190</v>
      </c>
      <c r="D18" s="78" t="s">
        <v>100</v>
      </c>
      <c r="E18" s="55" t="s">
        <v>105</v>
      </c>
      <c r="F18" s="71">
        <v>3</v>
      </c>
      <c r="G18" s="55" t="s">
        <v>110</v>
      </c>
      <c r="H18" s="59">
        <v>3</v>
      </c>
      <c r="I18" s="60">
        <f t="shared" si="2"/>
        <v>9</v>
      </c>
      <c r="J18" s="53" t="s">
        <v>194</v>
      </c>
      <c r="K18" s="84">
        <f>'Calificacion Controles'!AD17</f>
        <v>7.2</v>
      </c>
      <c r="L18" s="118" t="s">
        <v>253</v>
      </c>
      <c r="M18" s="125" t="s">
        <v>254</v>
      </c>
      <c r="N18" s="89"/>
      <c r="O18" s="89"/>
      <c r="P18" s="89"/>
      <c r="Q18" s="89"/>
      <c r="R18" s="89"/>
      <c r="S18" s="89"/>
    </row>
    <row r="19" spans="1:19" ht="75.75" customHeight="1" thickBot="1" x14ac:dyDescent="0.25">
      <c r="A19" s="66">
        <f t="shared" si="1"/>
        <v>15</v>
      </c>
      <c r="B19" s="77" t="s">
        <v>173</v>
      </c>
      <c r="C19" s="69" t="s">
        <v>190</v>
      </c>
      <c r="D19" s="78" t="s">
        <v>100</v>
      </c>
      <c r="E19" s="55" t="s">
        <v>105</v>
      </c>
      <c r="F19" s="71">
        <v>3</v>
      </c>
      <c r="G19" s="55" t="s">
        <v>110</v>
      </c>
      <c r="H19" s="59">
        <v>3</v>
      </c>
      <c r="I19" s="60">
        <f t="shared" si="2"/>
        <v>9</v>
      </c>
      <c r="J19" s="53" t="s">
        <v>208</v>
      </c>
      <c r="K19" s="84">
        <f>'Calificacion Controles'!AD18</f>
        <v>1.7999999999999996</v>
      </c>
      <c r="L19" s="81" t="s">
        <v>261</v>
      </c>
      <c r="M19" s="116">
        <v>0.25</v>
      </c>
      <c r="N19" s="89"/>
      <c r="O19" s="89"/>
      <c r="P19" s="89"/>
      <c r="Q19" s="89"/>
      <c r="R19" s="89"/>
      <c r="S19" s="89"/>
    </row>
    <row r="20" spans="1:19" ht="111.75" customHeight="1" thickBot="1" x14ac:dyDescent="0.25">
      <c r="A20" s="66">
        <f t="shared" si="1"/>
        <v>16</v>
      </c>
      <c r="B20" s="77" t="s">
        <v>177</v>
      </c>
      <c r="C20" s="69" t="s">
        <v>190</v>
      </c>
      <c r="D20" s="78" t="s">
        <v>100</v>
      </c>
      <c r="E20" s="55" t="s">
        <v>105</v>
      </c>
      <c r="F20" s="71">
        <v>3</v>
      </c>
      <c r="G20" s="55" t="s">
        <v>110</v>
      </c>
      <c r="H20" s="59">
        <v>3</v>
      </c>
      <c r="I20" s="60">
        <f t="shared" si="2"/>
        <v>9</v>
      </c>
      <c r="J20" s="54" t="s">
        <v>209</v>
      </c>
      <c r="K20" s="84">
        <f>'Calificacion Controles'!AD19</f>
        <v>7.2</v>
      </c>
      <c r="L20" s="81" t="s">
        <v>242</v>
      </c>
      <c r="M20" s="116">
        <v>0.25</v>
      </c>
      <c r="N20" s="89"/>
      <c r="O20" s="89"/>
      <c r="P20" s="89"/>
      <c r="Q20" s="89"/>
      <c r="R20" s="89"/>
      <c r="S20" s="89"/>
    </row>
    <row r="21" spans="1:19" ht="117.75" customHeight="1" thickBot="1" x14ac:dyDescent="0.25">
      <c r="A21" s="66">
        <f t="shared" si="1"/>
        <v>17</v>
      </c>
      <c r="B21" s="56" t="s">
        <v>175</v>
      </c>
      <c r="C21" s="69" t="s">
        <v>190</v>
      </c>
      <c r="D21" s="78" t="s">
        <v>100</v>
      </c>
      <c r="E21" s="55" t="s">
        <v>105</v>
      </c>
      <c r="F21" s="71">
        <v>3</v>
      </c>
      <c r="G21" s="55" t="s">
        <v>110</v>
      </c>
      <c r="H21" s="59">
        <v>3</v>
      </c>
      <c r="I21" s="60">
        <f t="shared" si="2"/>
        <v>9</v>
      </c>
      <c r="J21" s="107" t="s">
        <v>199</v>
      </c>
      <c r="K21" s="84">
        <f>'Calificacion Controles'!AD20</f>
        <v>0</v>
      </c>
      <c r="L21" s="81" t="s">
        <v>250</v>
      </c>
      <c r="M21" s="116">
        <v>0.25</v>
      </c>
      <c r="N21" s="89"/>
      <c r="O21" s="89"/>
      <c r="P21" s="89"/>
      <c r="Q21" s="89"/>
      <c r="R21" s="89"/>
      <c r="S21" s="89"/>
    </row>
    <row r="22" spans="1:19" ht="96" customHeight="1" thickBot="1" x14ac:dyDescent="0.25">
      <c r="A22" s="108"/>
      <c r="B22" s="109"/>
      <c r="C22" s="110"/>
      <c r="D22" s="55"/>
      <c r="E22" s="61"/>
      <c r="F22" s="59"/>
      <c r="G22" s="55"/>
      <c r="H22" s="59"/>
      <c r="I22" s="60"/>
      <c r="J22" s="81"/>
      <c r="K22" s="85"/>
      <c r="L22" s="81"/>
      <c r="M22" s="88"/>
      <c r="N22" s="89"/>
      <c r="O22" s="89"/>
      <c r="P22" s="89"/>
      <c r="Q22" s="89"/>
      <c r="R22" s="89"/>
      <c r="S22" s="89"/>
    </row>
    <row r="23" spans="1:19" ht="55.5" customHeight="1" thickBot="1" x14ac:dyDescent="0.25">
      <c r="A23" s="108"/>
      <c r="B23" s="56"/>
      <c r="C23" s="54"/>
      <c r="D23" s="55"/>
      <c r="E23" s="61"/>
      <c r="F23" s="59"/>
      <c r="G23" s="55"/>
      <c r="H23" s="79"/>
      <c r="I23" s="80"/>
      <c r="J23" s="82"/>
      <c r="K23" s="86"/>
      <c r="L23" s="81"/>
      <c r="M23" s="88"/>
      <c r="N23" s="89"/>
      <c r="O23" s="89"/>
      <c r="P23" s="89"/>
      <c r="Q23" s="89"/>
      <c r="R23" s="89"/>
      <c r="S23" s="89"/>
    </row>
    <row r="24" spans="1:19" ht="55.5" customHeight="1" x14ac:dyDescent="0.2">
      <c r="A24" s="66"/>
      <c r="B24" s="56"/>
      <c r="C24" s="69"/>
      <c r="D24" s="55"/>
      <c r="E24" s="61"/>
      <c r="F24" s="59"/>
      <c r="G24" s="55"/>
      <c r="H24" s="59"/>
      <c r="I24" s="60"/>
      <c r="J24" s="83"/>
      <c r="K24" s="85"/>
      <c r="L24" s="81"/>
      <c r="M24" s="88"/>
      <c r="N24" s="89"/>
      <c r="O24" s="89"/>
      <c r="P24" s="89"/>
      <c r="Q24" s="89"/>
      <c r="R24" s="89"/>
      <c r="S24" s="89"/>
    </row>
    <row r="25" spans="1:19" ht="116.1" customHeight="1" x14ac:dyDescent="0.2">
      <c r="A25" s="3"/>
      <c r="B25" s="3"/>
      <c r="C25" s="3"/>
      <c r="D25" s="3"/>
      <c r="E25" s="3"/>
      <c r="F25" s="3"/>
      <c r="G25" s="3"/>
      <c r="H25" s="3"/>
      <c r="I25" s="3"/>
      <c r="J25" s="3"/>
    </row>
    <row r="26" spans="1:19" ht="14.25" customHeight="1" x14ac:dyDescent="0.2">
      <c r="A26" s="3"/>
      <c r="B26" s="3"/>
      <c r="C26" s="3"/>
      <c r="D26" s="3"/>
      <c r="E26" s="3"/>
      <c r="F26" s="3"/>
      <c r="G26" s="3"/>
      <c r="H26" s="3"/>
      <c r="I26" s="3"/>
      <c r="J26" s="3"/>
    </row>
    <row r="27" spans="1:19" ht="183" customHeight="1" x14ac:dyDescent="0.2">
      <c r="A27" s="3"/>
      <c r="B27" s="3"/>
      <c r="C27" s="43" t="s">
        <v>88</v>
      </c>
      <c r="D27" s="3"/>
      <c r="E27" s="3"/>
      <c r="F27" s="3"/>
      <c r="G27" s="3"/>
      <c r="H27" s="3"/>
      <c r="I27" s="3"/>
      <c r="J27" s="3"/>
    </row>
    <row r="28" spans="1:19" ht="14.25" customHeight="1" x14ac:dyDescent="0.2">
      <c r="A28" s="3"/>
      <c r="B28" s="3"/>
      <c r="C28" s="3"/>
      <c r="D28" s="3"/>
      <c r="E28" s="3"/>
      <c r="F28" s="3" t="str">
        <f>IF($D28="","",AVERAGE(VLOOKUP($D28,Listas!$K$1:$S$6,9,0),(VLOOKUP($E28,Listas!$L$1:$S$6,8,0))))</f>
        <v/>
      </c>
      <c r="G28" s="3"/>
      <c r="H28" s="3" t="str">
        <f>IF($G28="","",(AVERAGE(VLOOKUP($G28,Listas!$M$1:$S$6,7,0))))</f>
        <v/>
      </c>
      <c r="I28" s="3" t="str">
        <f t="shared" ref="I28:I43" si="3">IF($D28="","",$F28*$H28)</f>
        <v/>
      </c>
      <c r="J28" s="3"/>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3"/>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3"/>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3"/>
        <v/>
      </c>
      <c r="J31" s="3"/>
    </row>
    <row r="32" spans="1:19" ht="14.25" customHeight="1" x14ac:dyDescent="0.2">
      <c r="A32" s="28"/>
      <c r="B32" s="26"/>
      <c r="C32" s="26"/>
      <c r="D32" s="63"/>
      <c r="E32" s="29"/>
      <c r="F32" s="27" t="str">
        <f>IF($D32="","",AVERAGE(VLOOKUP($D32,Listas!$K$1:$S$6,9,0),(VLOOKUP($E32,Listas!$L$1:$S$6,8,0))))</f>
        <v/>
      </c>
      <c r="G32" s="29"/>
      <c r="H32" s="58" t="str">
        <f>IF($G32="","",(AVERAGE(VLOOKUP($G32,Listas!$M$1:$S$6,7,0))))</f>
        <v/>
      </c>
      <c r="I32" s="30" t="str">
        <f t="shared" si="3"/>
        <v/>
      </c>
      <c r="J32" s="31"/>
      <c r="K32" s="32"/>
    </row>
    <row r="33" spans="1:11" ht="14.25" customHeight="1" x14ac:dyDescent="0.2">
      <c r="A33" s="28"/>
      <c r="B33" s="26"/>
      <c r="C33" s="26"/>
      <c r="D33" s="63"/>
      <c r="E33" s="29"/>
      <c r="F33" s="27" t="str">
        <f>IF($D33="","",AVERAGE(VLOOKUP($D33,Listas!$K$1:$S$6,9,0),(VLOOKUP($E33,Listas!$L$1:$S$6,8,0))))</f>
        <v/>
      </c>
      <c r="G33" s="29"/>
      <c r="H33" s="58" t="str">
        <f>IF($G33="","",(AVERAGE(VLOOKUP($G33,Listas!$M$1:$S$6,7,0))))</f>
        <v/>
      </c>
      <c r="I33" s="30" t="str">
        <f t="shared" si="3"/>
        <v/>
      </c>
      <c r="J33" s="31"/>
      <c r="K33" s="32"/>
    </row>
    <row r="34" spans="1:11" ht="14.25" customHeight="1" x14ac:dyDescent="0.2">
      <c r="A34" s="28"/>
      <c r="B34" s="26"/>
      <c r="C34" s="26"/>
      <c r="D34" s="63"/>
      <c r="E34" s="29"/>
      <c r="F34" s="27" t="str">
        <f>IF($D34="","",AVERAGE(VLOOKUP($D34,Listas!$K$1:$S$6,9,0),(VLOOKUP($E34,Listas!$L$1:$S$6,8,0))))</f>
        <v/>
      </c>
      <c r="G34" s="29"/>
      <c r="H34" s="58" t="str">
        <f>IF($G34="","",(AVERAGE(VLOOKUP($G34,Listas!$M$1:$S$6,7,0))))</f>
        <v/>
      </c>
      <c r="I34" s="30" t="str">
        <f t="shared" si="3"/>
        <v/>
      </c>
      <c r="J34" s="31"/>
      <c r="K34" s="32"/>
    </row>
    <row r="35" spans="1:11" ht="14.25" customHeight="1" x14ac:dyDescent="0.2">
      <c r="A35" s="28"/>
      <c r="B35" s="26"/>
      <c r="C35" s="26"/>
      <c r="D35" s="63"/>
      <c r="E35" s="29"/>
      <c r="F35" s="27" t="str">
        <f>IF($D35="","",AVERAGE(VLOOKUP($D35,Listas!$K$1:$S$6,9,0),(VLOOKUP($E35,Listas!$L$1:$S$6,8,0))))</f>
        <v/>
      </c>
      <c r="G35" s="29"/>
      <c r="H35" s="58" t="str">
        <f>IF($G35="","",(AVERAGE(VLOOKUP($G35,Listas!$M$1:$S$6,7,0))))</f>
        <v/>
      </c>
      <c r="I35" s="30" t="str">
        <f t="shared" si="3"/>
        <v/>
      </c>
      <c r="J35" s="31"/>
      <c r="K35" s="32"/>
    </row>
    <row r="36" spans="1:11" ht="14.25" customHeight="1" x14ac:dyDescent="0.2">
      <c r="A36" s="28"/>
      <c r="B36" s="26"/>
      <c r="C36" s="26"/>
      <c r="D36" s="63"/>
      <c r="E36" s="29"/>
      <c r="F36" s="27" t="str">
        <f>IF($D36="","",AVERAGE(VLOOKUP($D36,Listas!$K$1:$S$6,9,0),(VLOOKUP($E36,Listas!$L$1:$S$6,8,0))))</f>
        <v/>
      </c>
      <c r="G36" s="29"/>
      <c r="H36" s="58" t="str">
        <f>IF($G36="","",(AVERAGE(VLOOKUP($G36,Listas!$M$1:$S$6,7,0))))</f>
        <v/>
      </c>
      <c r="I36" s="30" t="str">
        <f t="shared" si="3"/>
        <v/>
      </c>
      <c r="J36" s="31"/>
      <c r="K36" s="32"/>
    </row>
    <row r="37" spans="1:11" ht="14.25" customHeight="1" x14ac:dyDescent="0.2">
      <c r="A37" s="28"/>
      <c r="B37" s="26"/>
      <c r="C37" s="26"/>
      <c r="D37" s="63"/>
      <c r="E37" s="29"/>
      <c r="F37" s="27" t="str">
        <f>IF($D37="","",AVERAGE(VLOOKUP($D37,Listas!$K$1:$S$6,9,0),(VLOOKUP($E37,Listas!$L$1:$S$6,8,0))))</f>
        <v/>
      </c>
      <c r="G37" s="29"/>
      <c r="H37" s="58" t="str">
        <f>IF($G37="","",(AVERAGE(VLOOKUP($G37,Listas!$M$1:$S$6,7,0))))</f>
        <v/>
      </c>
      <c r="I37" s="30" t="str">
        <f t="shared" si="3"/>
        <v/>
      </c>
      <c r="J37" s="31"/>
      <c r="K37" s="32"/>
    </row>
    <row r="38" spans="1:11" ht="14.25" customHeight="1" x14ac:dyDescent="0.2">
      <c r="A38" s="3"/>
      <c r="B38" s="3"/>
      <c r="C38" s="3"/>
      <c r="D38" s="3"/>
      <c r="E38" s="3"/>
      <c r="F38" s="3" t="str">
        <f>IF($D38="","",AVERAGE(VLOOKUP($D38,Listas!$K$1:$S$6,9,0),(VLOOKUP($E38,Listas!$L$1:$S$6,8,0))))</f>
        <v/>
      </c>
      <c r="G38" s="3"/>
      <c r="H38" s="3" t="str">
        <f>IF($G38="","",(AVERAGE(VLOOKUP($G38,Listas!$M$1:$S$6,7,0))))</f>
        <v/>
      </c>
      <c r="I38" s="3" t="str">
        <f t="shared" si="3"/>
        <v/>
      </c>
      <c r="J38" s="3"/>
    </row>
    <row r="39" spans="1:11" ht="14.25" customHeight="1" x14ac:dyDescent="0.2">
      <c r="A39" s="3"/>
      <c r="B39" s="3"/>
      <c r="C39" s="3"/>
      <c r="D39" s="3"/>
      <c r="E39" s="3"/>
      <c r="F39" s="3" t="str">
        <f>IF($D39="","",AVERAGE(VLOOKUP($D39,Listas!$K$1:$S$6,9,0),(VLOOKUP($E39,Listas!$L$1:$S$6,8,0))))</f>
        <v/>
      </c>
      <c r="G39" s="3"/>
      <c r="H39" s="3" t="str">
        <f>IF($G39="","",(AVERAGE(VLOOKUP($G39,Listas!$M$1:$S$6,7,0))))</f>
        <v/>
      </c>
      <c r="I39" s="3" t="str">
        <f t="shared" si="3"/>
        <v/>
      </c>
      <c r="J39" s="3"/>
    </row>
    <row r="40" spans="1:11" ht="14.25" customHeight="1" x14ac:dyDescent="0.2">
      <c r="A40" s="3"/>
      <c r="B40" s="3"/>
      <c r="C40" s="3"/>
      <c r="D40" s="3"/>
      <c r="E40" s="3"/>
      <c r="F40" s="3" t="str">
        <f>IF($D40="","",AVERAGE(VLOOKUP($D40,Listas!$K$1:$S$6,9,0),(VLOOKUP($E40,Listas!$L$1:$S$6,8,0))))</f>
        <v/>
      </c>
      <c r="G40" s="3"/>
      <c r="H40" s="3" t="str">
        <f>IF($G40="","",(AVERAGE(VLOOKUP($G40,Listas!$M$1:$S$6,7,0))))</f>
        <v/>
      </c>
      <c r="I40" s="3" t="str">
        <f t="shared" si="3"/>
        <v/>
      </c>
      <c r="J40" s="3"/>
    </row>
    <row r="41" spans="1:11" ht="14.25" customHeight="1" x14ac:dyDescent="0.2">
      <c r="A41" s="3"/>
      <c r="B41" s="3"/>
      <c r="C41" s="3"/>
      <c r="D41" s="3"/>
      <c r="E41" s="3"/>
      <c r="F41" s="3" t="str">
        <f>IF($D41="","",AVERAGE(VLOOKUP($D41,Listas!$K$1:$S$6,9,0),(VLOOKUP($E41,Listas!$L$1:$S$6,8,0))))</f>
        <v/>
      </c>
      <c r="G41" s="3"/>
      <c r="H41" s="3" t="str">
        <f>IF($G41="","",(AVERAGE(VLOOKUP($G41,Listas!$M$1:$S$6,7,0))))</f>
        <v/>
      </c>
      <c r="I41" s="3" t="str">
        <f t="shared" si="3"/>
        <v/>
      </c>
      <c r="J41" s="3"/>
    </row>
    <row r="42" spans="1:11" ht="14.25" customHeight="1" x14ac:dyDescent="0.2">
      <c r="A42" s="3"/>
      <c r="B42" s="3"/>
      <c r="C42" s="3"/>
      <c r="D42" s="3"/>
      <c r="E42" s="3"/>
      <c r="F42" s="3" t="str">
        <f>IF($D42="","",AVERAGE(VLOOKUP($D42,Listas!$K$1:$S$6,9,0),(VLOOKUP($E42,Listas!$L$1:$S$6,8,0))))</f>
        <v/>
      </c>
      <c r="G42" s="3"/>
      <c r="H42" s="3" t="str">
        <f>IF($G42="","",(AVERAGE(VLOOKUP($G42,Listas!$M$1:$S$6,7,0))))</f>
        <v/>
      </c>
      <c r="I42" s="3" t="str">
        <f t="shared" si="3"/>
        <v/>
      </c>
      <c r="J42" s="3"/>
    </row>
    <row r="43" spans="1:11" ht="14.25" customHeight="1" x14ac:dyDescent="0.2">
      <c r="A43" s="3"/>
      <c r="B43" s="3"/>
      <c r="C43" s="3"/>
      <c r="D43" s="3"/>
      <c r="E43" s="3"/>
      <c r="F43" s="3" t="str">
        <f>IF($D43="","",AVERAGE(VLOOKUP($D43,Listas!$K$1:$S$6,9,0),(VLOOKUP($E43,Listas!$L$1:$S$6,8,0))))</f>
        <v/>
      </c>
      <c r="G43" s="3"/>
      <c r="H43" s="3" t="str">
        <f>IF($G43="","",(AVERAGE(VLOOKUP($G43,Listas!$M$1:$S$6,7,0))))</f>
        <v/>
      </c>
      <c r="I43" s="3" t="str">
        <f t="shared" si="3"/>
        <v/>
      </c>
      <c r="J43" s="3"/>
    </row>
    <row r="44" spans="1:11" ht="14.25" customHeight="1" x14ac:dyDescent="0.2">
      <c r="A44" s="3"/>
      <c r="B44" s="3"/>
      <c r="C44" s="3"/>
      <c r="D44" s="3"/>
      <c r="E44" s="3"/>
      <c r="F44" s="3" t="str">
        <f>IF($D44="","",AVERAGE(VLOOKUP($D44,Listas!$K$1:$S$6,9,0),(VLOOKUP($E44,Listas!$L$1:$S$6,8,0))))</f>
        <v/>
      </c>
      <c r="G44" s="3"/>
      <c r="H44" s="3" t="str">
        <f>IF($G44="","",(AVERAGE(VLOOKUP($G44,Listas!$M$1:$S$6,7,0))))</f>
        <v/>
      </c>
      <c r="I44" s="3" t="str">
        <f t="shared" ref="I44:I75" si="4">IF($D44="","",$F44*$H44)</f>
        <v/>
      </c>
      <c r="J44" s="3"/>
    </row>
    <row r="45" spans="1:11" ht="14.25" customHeight="1" x14ac:dyDescent="0.2">
      <c r="A45" s="3"/>
      <c r="B45" s="3"/>
      <c r="C45" s="3"/>
      <c r="D45" s="3"/>
      <c r="E45" s="3"/>
      <c r="F45" s="3" t="str">
        <f>IF($D45="","",AVERAGE(VLOOKUP($D45,Listas!$K$1:$S$6,9,0),(VLOOKUP($E45,Listas!$L$1:$S$6,8,0))))</f>
        <v/>
      </c>
      <c r="G45" s="3"/>
      <c r="H45" s="3" t="str">
        <f>IF($G45="","",(AVERAGE(VLOOKUP($G45,Listas!$M$1:$S$6,7,0))))</f>
        <v/>
      </c>
      <c r="I45" s="3" t="str">
        <f t="shared" si="4"/>
        <v/>
      </c>
      <c r="J45" s="3"/>
    </row>
    <row r="46" spans="1:11" ht="14.25" customHeight="1" x14ac:dyDescent="0.2">
      <c r="A46" s="3"/>
      <c r="B46" s="3"/>
      <c r="C46" s="3"/>
      <c r="D46" s="3"/>
      <c r="E46" s="3"/>
      <c r="F46" s="3" t="str">
        <f>IF($D46="","",AVERAGE(VLOOKUP($D46,Listas!$K$1:$S$6,9,0),(VLOOKUP($E46,Listas!$L$1:$S$6,8,0))))</f>
        <v/>
      </c>
      <c r="G46" s="3"/>
      <c r="H46" s="3" t="str">
        <f>IF($G46="","",(AVERAGE(VLOOKUP($G46,Listas!$M$1:$S$6,7,0))))</f>
        <v/>
      </c>
      <c r="I46" s="3" t="str">
        <f t="shared" si="4"/>
        <v/>
      </c>
      <c r="J46" s="3"/>
    </row>
    <row r="47" spans="1:11" ht="14.25" customHeight="1" x14ac:dyDescent="0.2">
      <c r="A47" s="3"/>
      <c r="B47" s="3"/>
      <c r="C47" s="3"/>
      <c r="D47" s="3"/>
      <c r="E47" s="3"/>
      <c r="F47" s="3" t="str">
        <f>IF($D47="","",AVERAGE(VLOOKUP($D47,Listas!$K$1:$S$6,9,0),(VLOOKUP($E47,Listas!$L$1:$S$6,8,0))))</f>
        <v/>
      </c>
      <c r="G47" s="3"/>
      <c r="H47" s="3" t="str">
        <f>IF($G47="","",(AVERAGE(VLOOKUP($G47,Listas!$M$1:$S$6,7,0))))</f>
        <v/>
      </c>
      <c r="I47" s="3" t="str">
        <f t="shared" si="4"/>
        <v/>
      </c>
      <c r="J47" s="3"/>
    </row>
    <row r="48" spans="1:11" ht="14.25" customHeight="1" x14ac:dyDescent="0.2">
      <c r="A48" s="3"/>
      <c r="B48" s="3"/>
      <c r="C48" s="3"/>
      <c r="D48" s="3"/>
      <c r="E48" s="3"/>
      <c r="F48" s="3" t="str">
        <f>IF($D48="","",AVERAGE(VLOOKUP($D48,Listas!$K$1:$S$6,9,0),(VLOOKUP($E48,Listas!$L$1:$S$6,8,0))))</f>
        <v/>
      </c>
      <c r="G48" s="3"/>
      <c r="H48" s="3" t="str">
        <f>IF($G48="","",(AVERAGE(VLOOKUP($G48,Listas!$M$1:$S$6,7,0))))</f>
        <v/>
      </c>
      <c r="I48" s="3" t="str">
        <f t="shared" si="4"/>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4"/>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4"/>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4"/>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4"/>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4"/>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4"/>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4"/>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4"/>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4"/>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4"/>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4"/>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4"/>
        <v/>
      </c>
      <c r="J60" s="3"/>
    </row>
    <row r="61" spans="1:10" ht="14.25" customHeight="1" x14ac:dyDescent="0.2">
      <c r="A61" s="3"/>
      <c r="B61" s="3"/>
      <c r="C61" s="3"/>
      <c r="D61" s="3"/>
      <c r="E61" s="3"/>
      <c r="F61" s="3" t="str">
        <f>IF($D61="","",AVERAGE(VLOOKUP($D61,Listas!$K$1:$S$6,9,0),(VLOOKUP($E61,Listas!$L$1:$S$6,8,0))))</f>
        <v/>
      </c>
      <c r="G61" s="3"/>
      <c r="H61" s="3" t="str">
        <f>IF($G61="","",(AVERAGE(VLOOKUP($G61,Listas!$M$1:$S$6,7,0))))</f>
        <v/>
      </c>
      <c r="I61" s="3" t="str">
        <f t="shared" si="4"/>
        <v/>
      </c>
      <c r="J61" s="3"/>
    </row>
    <row r="62" spans="1:10" ht="14.25" customHeight="1" x14ac:dyDescent="0.2">
      <c r="A62" s="3"/>
      <c r="B62" s="3"/>
      <c r="C62" s="3"/>
      <c r="D62" s="3"/>
      <c r="E62" s="3"/>
      <c r="F62" s="3" t="str">
        <f>IF($D62="","",AVERAGE(VLOOKUP($D62,Listas!$K$1:$S$6,9,0),(VLOOKUP($E62,Listas!$L$1:$S$6,8,0))))</f>
        <v/>
      </c>
      <c r="G62" s="3"/>
      <c r="H62" s="3" t="str">
        <f>IF($G62="","",(AVERAGE(VLOOKUP($G62,Listas!$M$1:$S$6,7,0))))</f>
        <v/>
      </c>
      <c r="I62" s="3" t="str">
        <f t="shared" si="4"/>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4"/>
        <v/>
      </c>
      <c r="J63" s="3"/>
    </row>
    <row r="64" spans="1:10" ht="14.25" customHeight="1" x14ac:dyDescent="0.2">
      <c r="A64" s="3"/>
      <c r="B64" s="3"/>
      <c r="C64" s="3"/>
      <c r="D64" s="3"/>
      <c r="E64" s="3"/>
      <c r="F64" s="3" t="str">
        <f>IF($D64="","",AVERAGE(VLOOKUP($D64,Listas!$K$1:$S$6,9,0),(VLOOKUP($E64,Listas!$L$1:$S$6,8,0))))</f>
        <v/>
      </c>
      <c r="G64" s="3"/>
      <c r="H64" s="3" t="str">
        <f>IF($G64="","",(AVERAGE(VLOOKUP($G64,Listas!$M$1:$S$6,7,0))))</f>
        <v/>
      </c>
      <c r="I64" s="3" t="str">
        <f t="shared" si="4"/>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4"/>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4"/>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si="4"/>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4"/>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4"/>
        <v/>
      </c>
      <c r="J69" s="3"/>
    </row>
    <row r="70" spans="1:10" x14ac:dyDescent="0.2">
      <c r="A70" s="3"/>
      <c r="B70" s="3"/>
      <c r="C70" s="3"/>
      <c r="D70" s="3"/>
      <c r="E70" s="3"/>
      <c r="F70" s="3" t="str">
        <f>IF($D70="","",AVERAGE(VLOOKUP($D70,Listas!$K$1:$S$6,9,0),(VLOOKUP($E70,Listas!$L$1:$S$6,8,0))))</f>
        <v/>
      </c>
      <c r="G70" s="3"/>
      <c r="H70" s="3" t="str">
        <f>IF($G70="","",(AVERAGE(VLOOKUP($G70,Listas!$M$1:$S$6,7,0))))</f>
        <v/>
      </c>
      <c r="I70" s="3" t="str">
        <f t="shared" si="4"/>
        <v/>
      </c>
      <c r="J70" s="3"/>
    </row>
    <row r="71" spans="1:10" ht="12.6" customHeight="1" x14ac:dyDescent="0.2">
      <c r="A71" s="3"/>
      <c r="B71" s="3"/>
      <c r="C71" s="3"/>
      <c r="D71" s="3"/>
      <c r="E71" s="3"/>
      <c r="F71" s="3" t="str">
        <f>IF($D71="","",AVERAGE(VLOOKUP($D71,Listas!$K$1:$S$6,9,0),(VLOOKUP($E71,Listas!$L$1:$S$6,8,0))))</f>
        <v/>
      </c>
      <c r="G71" s="3"/>
      <c r="H71" s="3" t="str">
        <f>IF($G71="","",(AVERAGE(VLOOKUP($G71,Listas!$M$1:$S$6,7,0))))</f>
        <v/>
      </c>
      <c r="I71" s="3" t="str">
        <f t="shared" si="4"/>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4"/>
        <v/>
      </c>
      <c r="J72" s="3"/>
    </row>
    <row r="73" spans="1:10" ht="15" customHeight="1" x14ac:dyDescent="0.2">
      <c r="A73" s="3"/>
      <c r="B73" s="3"/>
      <c r="C73" s="3"/>
      <c r="D73" s="3"/>
      <c r="E73" s="3"/>
      <c r="F73" s="3" t="str">
        <f>IF($D73="","",AVERAGE(VLOOKUP($D73,Listas!$K$1:$S$6,9,0),(VLOOKUP($E73,Listas!$L$1:$S$6,8,0))))</f>
        <v/>
      </c>
      <c r="G73" s="3"/>
      <c r="H73" s="3" t="str">
        <f>IF($G73="","",(AVERAGE(VLOOKUP($G73,Listas!$M$1:$S$6,7,0))))</f>
        <v/>
      </c>
      <c r="I73" s="3" t="str">
        <f t="shared" si="4"/>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4"/>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4"/>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ref="I76:I111" si="5">IF($D76="","",$F76*$H76)</f>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5"/>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5"/>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5"/>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5"/>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5"/>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5"/>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5"/>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5"/>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5"/>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5"/>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5"/>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5"/>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5"/>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5"/>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5"/>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5"/>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5"/>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5"/>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5"/>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5"/>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5"/>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5"/>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5"/>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5"/>
        <v/>
      </c>
      <c r="J100" s="3"/>
    </row>
    <row r="101" spans="1:10" ht="14.25" customHeight="1" x14ac:dyDescent="0.2">
      <c r="A101" s="3"/>
      <c r="B101" s="3"/>
      <c r="C101" s="3"/>
      <c r="D101" s="3"/>
      <c r="E101" s="3"/>
      <c r="F101" s="3" t="str">
        <f>IF($D101="","",AVERAGE(VLOOKUP($D101,Listas!$K$1:$S$6,9,0),(VLOOKUP($E101,Listas!$L$1:$S$6,8,0))))</f>
        <v/>
      </c>
      <c r="G101" s="3"/>
      <c r="H101" s="3" t="str">
        <f>IF($G101="","",(AVERAGE(VLOOKUP($G101,Listas!$M$1:$S$6,7,0))))</f>
        <v/>
      </c>
      <c r="I101" s="3" t="str">
        <f t="shared" si="5"/>
        <v/>
      </c>
      <c r="J101" s="3"/>
    </row>
    <row r="102" spans="1:10" ht="14.25" customHeight="1" x14ac:dyDescent="0.2">
      <c r="A102" s="3"/>
      <c r="B102" s="3"/>
      <c r="C102" s="3"/>
      <c r="D102" s="3"/>
      <c r="E102" s="3"/>
      <c r="F102" s="3" t="str">
        <f>IF($D102="","",AVERAGE(VLOOKUP($D102,Listas!$K$1:$S$6,9,0),(VLOOKUP($E102,Listas!$L$1:$S$6,8,0))))</f>
        <v/>
      </c>
      <c r="G102" s="3"/>
      <c r="H102" s="3" t="str">
        <f>IF($G102="","",(AVERAGE(VLOOKUP($G102,Listas!$M$1:$S$6,7,0))))</f>
        <v/>
      </c>
      <c r="I102" s="3" t="str">
        <f t="shared" si="5"/>
        <v/>
      </c>
      <c r="J102" s="3"/>
    </row>
    <row r="103" spans="1:10" ht="14.25" customHeight="1" x14ac:dyDescent="0.2">
      <c r="A103" s="3"/>
      <c r="B103" s="3"/>
      <c r="C103" s="3"/>
      <c r="D103" s="3"/>
      <c r="E103" s="3"/>
      <c r="F103" s="3" t="str">
        <f>IF($D103="","",AVERAGE(VLOOKUP($D103,Listas!$K$1:$S$6,9,0),(VLOOKUP($E103,Listas!$L$1:$S$6,8,0))))</f>
        <v/>
      </c>
      <c r="G103" s="3"/>
      <c r="H103" s="3" t="str">
        <f>IF($G103="","",(AVERAGE(VLOOKUP($G103,Listas!$M$1:$S$6,7,0))))</f>
        <v/>
      </c>
      <c r="I103" s="3" t="str">
        <f t="shared" si="5"/>
        <v/>
      </c>
      <c r="J103" s="3"/>
    </row>
    <row r="104" spans="1:10" ht="14.25" customHeight="1" x14ac:dyDescent="0.2">
      <c r="A104" s="3"/>
      <c r="B104" s="3"/>
      <c r="C104" s="3"/>
      <c r="D104" s="3"/>
      <c r="E104" s="3"/>
      <c r="F104" s="3" t="str">
        <f>IF($D104="","",AVERAGE(VLOOKUP($D104,Listas!$K$1:$S$6,9,0),(VLOOKUP($E104,Listas!$L$1:$S$6,8,0))))</f>
        <v/>
      </c>
      <c r="G104" s="3"/>
      <c r="H104" s="3" t="str">
        <f>IF($G104="","",(AVERAGE(VLOOKUP($G104,Listas!$M$1:$S$6,7,0))))</f>
        <v/>
      </c>
      <c r="I104" s="3" t="str">
        <f t="shared" si="5"/>
        <v/>
      </c>
      <c r="J104" s="3"/>
    </row>
    <row r="105" spans="1:10" ht="14.25" customHeight="1" x14ac:dyDescent="0.2">
      <c r="A105" s="3"/>
      <c r="B105" s="3"/>
      <c r="C105" s="3"/>
      <c r="D105" s="3"/>
      <c r="E105" s="3"/>
      <c r="F105" s="3" t="str">
        <f>IF($D105="","",AVERAGE(VLOOKUP($D105,Listas!$K$1:$S$6,9,0),(VLOOKUP($E105,Listas!$L$1:$S$6,8,0))))</f>
        <v/>
      </c>
      <c r="G105" s="3"/>
      <c r="H105" s="3" t="str">
        <f>IF($G105="","",(AVERAGE(VLOOKUP($G105,Listas!$M$1:$S$6,7,0))))</f>
        <v/>
      </c>
      <c r="I105" s="3" t="str">
        <f t="shared" si="5"/>
        <v/>
      </c>
      <c r="J105" s="3"/>
    </row>
    <row r="106" spans="1:10" ht="14.25" customHeight="1" x14ac:dyDescent="0.2">
      <c r="A106" s="3"/>
      <c r="B106" s="3"/>
      <c r="C106" s="3"/>
      <c r="D106" s="3"/>
      <c r="E106" s="3"/>
      <c r="F106" s="3" t="str">
        <f>IF($D106="","",AVERAGE(VLOOKUP($D106,Listas!$K$1:$S$6,9,0),(VLOOKUP($E106,Listas!$L$1:$S$6,8,0))))</f>
        <v/>
      </c>
      <c r="G106" s="3"/>
      <c r="H106" s="3" t="str">
        <f>IF($G106="","",(AVERAGE(VLOOKUP($G106,Listas!$M$1:$S$6,7,0))))</f>
        <v/>
      </c>
      <c r="I106" s="3" t="str">
        <f t="shared" si="5"/>
        <v/>
      </c>
      <c r="J106" s="3"/>
    </row>
    <row r="107" spans="1:10" ht="14.25" customHeight="1" x14ac:dyDescent="0.2">
      <c r="A107" s="3"/>
      <c r="B107" s="3"/>
      <c r="C107" s="3"/>
      <c r="D107" s="3"/>
      <c r="E107" s="3"/>
      <c r="F107" s="3" t="str">
        <f>IF($D107="","",AVERAGE(VLOOKUP($D107,Listas!$K$1:$S$6,9,0),(VLOOKUP($E107,Listas!$L$1:$S$6,8,0))))</f>
        <v/>
      </c>
      <c r="G107" s="3"/>
      <c r="H107" s="3" t="str">
        <f>IF($G107="","",(AVERAGE(VLOOKUP($G107,Listas!$M$1:$S$6,7,0))))</f>
        <v/>
      </c>
      <c r="I107" s="3" t="str">
        <f t="shared" si="5"/>
        <v/>
      </c>
      <c r="J107" s="3"/>
    </row>
    <row r="108" spans="1:10" ht="14.25" customHeight="1" x14ac:dyDescent="0.2">
      <c r="A108" s="3"/>
      <c r="B108" s="3"/>
      <c r="C108" s="3"/>
      <c r="D108" s="3"/>
      <c r="E108" s="3"/>
      <c r="F108" s="3" t="str">
        <f>IF($D108="","",AVERAGE(VLOOKUP($D108,Listas!$K$1:$S$6,9,0),(VLOOKUP($E108,Listas!$L$1:$S$6,8,0))))</f>
        <v/>
      </c>
      <c r="G108" s="3"/>
      <c r="H108" s="3" t="str">
        <f>IF($G108="","",(AVERAGE(VLOOKUP($G108,Listas!$M$1:$S$6,7,0))))</f>
        <v/>
      </c>
      <c r="I108" s="3" t="str">
        <f t="shared" si="5"/>
        <v/>
      </c>
      <c r="J108" s="3"/>
    </row>
    <row r="109" spans="1:10" ht="14.25" customHeight="1" x14ac:dyDescent="0.2">
      <c r="A109" s="3"/>
      <c r="B109" s="3"/>
      <c r="C109" s="3"/>
      <c r="D109" s="3"/>
      <c r="E109" s="3"/>
      <c r="F109" s="3" t="str">
        <f>IF($D109="","",AVERAGE(VLOOKUP($D109,Listas!$K$1:$S$6,9,0),(VLOOKUP($E109,Listas!$L$1:$S$6,8,0))))</f>
        <v/>
      </c>
      <c r="G109" s="3"/>
      <c r="H109" s="3" t="str">
        <f>IF($G109="","",(AVERAGE(VLOOKUP($G109,Listas!$M$1:$S$6,7,0))))</f>
        <v/>
      </c>
      <c r="I109" s="3" t="str">
        <f t="shared" si="5"/>
        <v/>
      </c>
      <c r="J109" s="3"/>
    </row>
    <row r="110" spans="1:10" x14ac:dyDescent="0.2">
      <c r="A110" s="3"/>
      <c r="B110" s="3"/>
      <c r="C110" s="3"/>
      <c r="D110" s="3"/>
      <c r="E110" s="3"/>
      <c r="F110" s="3" t="str">
        <f>IF($D110="","",AVERAGE(VLOOKUP($D110,Listas!$K$1:$S$6,9,0),(VLOOKUP($E110,Listas!$L$1:$S$6,8,0))))</f>
        <v/>
      </c>
      <c r="G110" s="3"/>
      <c r="H110" s="3" t="str">
        <f>IF($G110="","",(AVERAGE(VLOOKUP($G110,Listas!$M$1:$S$6,7,0))))</f>
        <v/>
      </c>
      <c r="I110" s="3" t="str">
        <f t="shared" si="5"/>
        <v/>
      </c>
      <c r="J110" s="3"/>
    </row>
    <row r="111" spans="1:10" x14ac:dyDescent="0.2">
      <c r="A111" s="3"/>
      <c r="B111" s="3"/>
      <c r="C111" s="3"/>
      <c r="D111" s="3"/>
      <c r="E111" s="3"/>
      <c r="F111" s="3" t="str">
        <f>IF($D111="","",AVERAGE(VLOOKUP($D111,Listas!$K$1:$S$6,9,0),(VLOOKUP($E111,Listas!$L$1:$S$6,8,0))))</f>
        <v/>
      </c>
      <c r="G111" s="3"/>
      <c r="H111" s="3" t="str">
        <f>IF($G111="","",(AVERAGE(VLOOKUP($G111,Listas!$M$1:$S$6,7,0))))</f>
        <v/>
      </c>
      <c r="I111" s="3" t="str">
        <f t="shared" si="5"/>
        <v/>
      </c>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row r="425" spans="1:10" x14ac:dyDescent="0.2">
      <c r="A425" s="3"/>
      <c r="B425" s="3"/>
      <c r="C425" s="3"/>
      <c r="D425" s="3"/>
      <c r="E425" s="3"/>
      <c r="F425" s="3"/>
      <c r="G425" s="3"/>
      <c r="H425" s="3"/>
      <c r="I425" s="3"/>
      <c r="J425" s="3"/>
    </row>
    <row r="426" spans="1:10" x14ac:dyDescent="0.2">
      <c r="A426" s="3"/>
      <c r="B426" s="3"/>
      <c r="C426" s="3"/>
      <c r="D426" s="3"/>
      <c r="E426" s="3"/>
      <c r="F426" s="3"/>
      <c r="G426" s="3"/>
      <c r="H426" s="3"/>
      <c r="I426" s="3"/>
      <c r="J426" s="3"/>
    </row>
    <row r="427" spans="1:10" x14ac:dyDescent="0.2">
      <c r="A427" s="3"/>
      <c r="B427" s="3"/>
      <c r="C427" s="3"/>
      <c r="D427" s="3"/>
      <c r="E427" s="3"/>
      <c r="F427" s="3"/>
      <c r="G427" s="3"/>
      <c r="H427" s="3"/>
      <c r="I427" s="3"/>
      <c r="J427" s="3"/>
    </row>
    <row r="428" spans="1:10" x14ac:dyDescent="0.2">
      <c r="A428" s="3"/>
      <c r="B428" s="3"/>
      <c r="C428" s="3"/>
      <c r="D428" s="3"/>
      <c r="E428" s="3"/>
      <c r="F428" s="3"/>
      <c r="G428" s="3"/>
      <c r="H428" s="3"/>
      <c r="I428" s="3"/>
      <c r="J428" s="3"/>
    </row>
    <row r="429" spans="1:10" x14ac:dyDescent="0.2">
      <c r="A429" s="3"/>
      <c r="B429" s="3"/>
      <c r="C429" s="3"/>
      <c r="D429" s="3"/>
      <c r="E429" s="3"/>
      <c r="F429" s="3"/>
      <c r="G429" s="3"/>
      <c r="H429" s="3"/>
      <c r="I429" s="3"/>
      <c r="J429" s="3"/>
    </row>
    <row r="430" spans="1:10" x14ac:dyDescent="0.2">
      <c r="A430" s="3"/>
      <c r="B430" s="3"/>
      <c r="C430" s="3"/>
      <c r="D430" s="3"/>
      <c r="E430" s="3"/>
      <c r="F430" s="3"/>
      <c r="G430" s="3"/>
      <c r="H430" s="3"/>
      <c r="I430" s="3"/>
      <c r="J430" s="3"/>
    </row>
    <row r="431" spans="1:10" x14ac:dyDescent="0.2">
      <c r="A431" s="3"/>
      <c r="B431" s="3"/>
      <c r="C431" s="3"/>
      <c r="D431" s="3"/>
      <c r="E431" s="3"/>
      <c r="F431" s="3"/>
      <c r="G431" s="3"/>
      <c r="H431" s="3"/>
      <c r="I431" s="3"/>
      <c r="J431" s="3"/>
    </row>
    <row r="432" spans="1:10" x14ac:dyDescent="0.2">
      <c r="A432" s="3"/>
      <c r="B432" s="3"/>
      <c r="C432" s="3"/>
      <c r="D432" s="3"/>
      <c r="E432" s="3"/>
      <c r="F432" s="3"/>
      <c r="G432" s="3"/>
      <c r="H432" s="3"/>
      <c r="I432" s="3"/>
      <c r="J432" s="3"/>
    </row>
    <row r="433" spans="1:10" x14ac:dyDescent="0.2">
      <c r="A433" s="3"/>
      <c r="B433" s="3"/>
      <c r="C433" s="3"/>
      <c r="D433" s="3"/>
      <c r="E433" s="3"/>
      <c r="F433" s="3"/>
      <c r="G433" s="3"/>
      <c r="H433" s="3"/>
      <c r="I433" s="3"/>
      <c r="J433" s="3"/>
    </row>
  </sheetData>
  <sheetProtection formatCells="0" formatColumns="0" formatRows="0" insertRows="0" deleteRows="0" selectLockedCells="1" sort="0" autoFilter="0"/>
  <autoFilter ref="A4:S24" xr:uid="{00000000-0009-0000-0000-00000200000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57" stopIfTrue="1">
      <formula>LEN(TRIM(I5))=0</formula>
    </cfRule>
  </conditionalFormatting>
  <conditionalFormatting sqref="K5">
    <cfRule type="containsBlanks" priority="38" stopIfTrue="1">
      <formula>LEN(TRIM(K5))=0</formula>
    </cfRule>
  </conditionalFormatting>
  <conditionalFormatting sqref="I28">
    <cfRule type="containsBlanks" priority="22" stopIfTrue="1">
      <formula>LEN(TRIM(I28))=0</formula>
    </cfRule>
  </conditionalFormatting>
  <conditionalFormatting sqref="I22:I24">
    <cfRule type="containsBlanks" priority="18" stopIfTrue="1">
      <formula>LEN(TRIM(I22))=0</formula>
    </cfRule>
  </conditionalFormatting>
  <conditionalFormatting sqref="K22:K24">
    <cfRule type="containsBlanks" priority="15" stopIfTrue="1">
      <formula>LEN(TRIM(K22))=0</formula>
    </cfRule>
  </conditionalFormatting>
  <conditionalFormatting sqref="I17">
    <cfRule type="containsBlanks" priority="8" stopIfTrue="1">
      <formula>LEN(TRIM(I17))=0</formula>
    </cfRule>
  </conditionalFormatting>
  <conditionalFormatting sqref="K6:K21">
    <cfRule type="containsBlanks" priority="2" stopIfTrue="1">
      <formula>LEN(TRIM(K6))=0</formula>
    </cfRule>
  </conditionalFormatting>
  <dataValidations count="5">
    <dataValidation allowBlank="1" showErrorMessage="1" errorTitle="Error" error="Please select an option from the drop down list." sqref="E22:E24 F5:F111 H5:H111" xr:uid="{00000000-0002-0000-0200-000000000000}"/>
    <dataValidation type="list" allowBlank="1" showErrorMessage="1" errorTitle="Error" error="Please select an option from the drop down list." sqref="E25:E111 E5:E21" xr:uid="{00000000-0002-0000-0200-000001000000}">
      <formula1>Occurrences</formula1>
    </dataValidation>
    <dataValidation type="list" allowBlank="1" showInputMessage="1" showErrorMessage="1" sqref="B23:B111 B5:B2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1"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0"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1"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0"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39"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5"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4"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3"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1"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19"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17"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16"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1" stopIfTrue="1" id="{1F8A0589-95DC-4F76-AA2F-0964B4877C67}">
            <xm:f>$I6&lt;='C:\Users\ACORRALES\AppData\Local\Microsoft\Windows\Temporary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xm:sqref>
        </x14:conditionalFormatting>
        <x14:conditionalFormatting xmlns:xm="http://schemas.microsoft.com/office/excel/2006/main">
          <x14:cfRule type="cellIs" priority="10"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9"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6"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expression" priority="5" stopIfTrue="1" id="{741D6546-DF95-4C65-90D7-000F31F9EE9D}">
            <xm:f>$I7&lt;='C:\Users\ACORRALES\AppData\Local\Microsoft\Windows\Temporary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J7:J17</xm:sqref>
        </x14:conditionalFormatting>
        <x14:conditionalFormatting xmlns:xm="http://schemas.microsoft.com/office/excel/2006/main">
          <x14:cfRule type="cellIs" priority="4"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3"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1" stopIfTrue="1" id="{FCF19492-FD89-48B7-A31C-2B1DD915BBA3}">
            <xm:f>$I15&lt;='\USERS\CDIAZM\Downloads\[Matriz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topLeftCell="A10" zoomScaleNormal="100" zoomScalePageLayoutView="125" workbookViewId="0">
      <selection activeCell="J19" sqref="J1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92" bestFit="1" customWidth="1"/>
    <col min="6" max="6" width="25.85546875" customWidth="1"/>
    <col min="7" max="7" width="3.85546875" style="99" bestFit="1" customWidth="1"/>
    <col min="8" max="8" width="19.28515625" customWidth="1"/>
    <col min="9" max="9" width="3.85546875" style="99" bestFit="1" customWidth="1"/>
    <col min="10" max="10" width="19.28515625" customWidth="1"/>
    <col min="11" max="11" width="3.85546875" style="98"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92" bestFit="1" customWidth="1"/>
    <col min="29" max="29" width="16.140625" style="92" bestFit="1" customWidth="1"/>
    <col min="30" max="30" width="12.85546875" style="92"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100" customFormat="1" ht="30" customHeight="1" x14ac:dyDescent="0.25">
      <c r="A1" s="144" t="s">
        <v>19</v>
      </c>
      <c r="B1" s="140" t="s">
        <v>91</v>
      </c>
      <c r="C1" s="140" t="s">
        <v>93</v>
      </c>
      <c r="D1" s="147" t="s">
        <v>92</v>
      </c>
      <c r="E1" s="148"/>
      <c r="F1" s="148"/>
      <c r="G1" s="148"/>
      <c r="H1" s="148"/>
      <c r="I1" s="148"/>
      <c r="J1" s="148"/>
      <c r="K1" s="148"/>
      <c r="L1" s="148"/>
      <c r="M1" s="148"/>
      <c r="N1" s="148"/>
      <c r="O1" s="148"/>
      <c r="P1" s="148"/>
      <c r="Q1" s="148"/>
      <c r="R1" s="148"/>
      <c r="S1" s="148"/>
      <c r="T1" s="148"/>
      <c r="U1" s="148"/>
      <c r="V1" s="148"/>
      <c r="W1" s="148"/>
      <c r="X1" s="148"/>
      <c r="Y1" s="148"/>
      <c r="Z1" s="148"/>
      <c r="AA1" s="148"/>
      <c r="AB1" s="140" t="s">
        <v>94</v>
      </c>
      <c r="AC1" s="140" t="s">
        <v>95</v>
      </c>
      <c r="AD1" s="140" t="s">
        <v>96</v>
      </c>
    </row>
    <row r="2" spans="1:30" s="100" customFormat="1" x14ac:dyDescent="0.25">
      <c r="A2" s="145"/>
      <c r="B2" s="141"/>
      <c r="C2" s="141"/>
      <c r="D2" s="143" t="s">
        <v>148</v>
      </c>
      <c r="E2" s="143"/>
      <c r="F2" s="143" t="s">
        <v>151</v>
      </c>
      <c r="G2" s="143"/>
      <c r="H2" s="143" t="s">
        <v>152</v>
      </c>
      <c r="I2" s="143"/>
      <c r="J2" s="143" t="s">
        <v>153</v>
      </c>
      <c r="K2" s="143"/>
      <c r="L2" s="143" t="s">
        <v>154</v>
      </c>
      <c r="M2" s="143"/>
      <c r="N2" s="143" t="s">
        <v>155</v>
      </c>
      <c r="O2" s="143"/>
      <c r="P2" s="143" t="s">
        <v>156</v>
      </c>
      <c r="Q2" s="143"/>
      <c r="R2" s="143" t="s">
        <v>157</v>
      </c>
      <c r="S2" s="143"/>
      <c r="T2" s="143" t="s">
        <v>158</v>
      </c>
      <c r="U2" s="143"/>
      <c r="V2" s="143" t="s">
        <v>159</v>
      </c>
      <c r="W2" s="143"/>
      <c r="X2" s="143" t="s">
        <v>160</v>
      </c>
      <c r="Y2" s="143"/>
      <c r="Z2" s="143" t="s">
        <v>161</v>
      </c>
      <c r="AA2" s="143"/>
      <c r="AB2" s="141"/>
      <c r="AC2" s="141"/>
      <c r="AD2" s="141"/>
    </row>
    <row r="3" spans="1:30" s="100" customFormat="1" ht="63" customHeight="1" x14ac:dyDescent="0.25">
      <c r="A3" s="146"/>
      <c r="B3" s="142"/>
      <c r="C3" s="142"/>
      <c r="D3" s="101" t="s">
        <v>149</v>
      </c>
      <c r="E3" s="102" t="s">
        <v>150</v>
      </c>
      <c r="F3" s="101" t="s">
        <v>149</v>
      </c>
      <c r="G3" s="102" t="s">
        <v>150</v>
      </c>
      <c r="H3" s="101" t="s">
        <v>149</v>
      </c>
      <c r="I3" s="102" t="s">
        <v>150</v>
      </c>
      <c r="J3" s="101" t="s">
        <v>149</v>
      </c>
      <c r="K3" s="102" t="s">
        <v>150</v>
      </c>
      <c r="L3" s="101" t="s">
        <v>149</v>
      </c>
      <c r="M3" s="102" t="s">
        <v>150</v>
      </c>
      <c r="N3" s="101" t="s">
        <v>149</v>
      </c>
      <c r="O3" s="102" t="s">
        <v>150</v>
      </c>
      <c r="P3" s="101" t="s">
        <v>149</v>
      </c>
      <c r="Q3" s="102" t="s">
        <v>150</v>
      </c>
      <c r="R3" s="101" t="s">
        <v>149</v>
      </c>
      <c r="S3" s="102" t="s">
        <v>150</v>
      </c>
      <c r="T3" s="101" t="s">
        <v>149</v>
      </c>
      <c r="U3" s="102" t="s">
        <v>150</v>
      </c>
      <c r="V3" s="101" t="s">
        <v>149</v>
      </c>
      <c r="W3" s="102" t="s">
        <v>150</v>
      </c>
      <c r="X3" s="101" t="s">
        <v>149</v>
      </c>
      <c r="Y3" s="102" t="s">
        <v>150</v>
      </c>
      <c r="Z3" s="101" t="s">
        <v>149</v>
      </c>
      <c r="AA3" s="102" t="s">
        <v>150</v>
      </c>
      <c r="AB3" s="142"/>
      <c r="AC3" s="142"/>
      <c r="AD3" s="142"/>
    </row>
    <row r="4" spans="1:30" ht="30" x14ac:dyDescent="0.25">
      <c r="A4" s="69" t="s">
        <v>187</v>
      </c>
      <c r="B4" s="95">
        <f>Riesgos!I5</f>
        <v>4</v>
      </c>
      <c r="C4" s="94">
        <v>2</v>
      </c>
      <c r="D4" s="103" t="s">
        <v>139</v>
      </c>
      <c r="E4" s="94">
        <f>+IF(D4="","",(LOOKUP(D4,CriterioControl,CriteriosControles!$B$2:$B$15)))</f>
        <v>5</v>
      </c>
      <c r="F4" s="103" t="s">
        <v>139</v>
      </c>
      <c r="G4" s="94">
        <f>+IF(F4="","",(LOOKUP(F4,CriterioControl,CriteriosControles!$B$2:$B$15)))</f>
        <v>5</v>
      </c>
      <c r="H4" s="103"/>
      <c r="I4" s="94" t="str">
        <f>+IF(H4="","",(LOOKUP(H4,CriterioControl,CriteriosControles!$B$2:$B$15)))</f>
        <v/>
      </c>
      <c r="J4" s="103"/>
      <c r="K4" s="94" t="str">
        <f>+IF(J4="","",(LOOKUP(J4,CriterioControl,CriteriosControles!$B$2:$B$15)))</f>
        <v/>
      </c>
      <c r="L4" s="103"/>
      <c r="M4" s="94" t="str">
        <f>+IF(L4="","",(LOOKUP(L4,CriterioControl,CriteriosControles!$B$2:$B$15)))</f>
        <v/>
      </c>
      <c r="N4" s="95"/>
      <c r="O4" s="94" t="str">
        <f>+IF(N4="","",(LOOKUP(N4,CriterioControl,CriteriosControles!$B$2:$B$15)))</f>
        <v/>
      </c>
      <c r="P4" s="95"/>
      <c r="Q4" s="94" t="str">
        <f>+IF(P4="","",(LOOKUP(P4,CriterioControl,CriteriosControles!$B$2:$B$15)))</f>
        <v/>
      </c>
      <c r="R4" s="95"/>
      <c r="S4" s="94" t="str">
        <f>+IF(R4="","",(LOOKUP(R4,CriterioControl,CriteriosControles!$B$2:$B$15)))</f>
        <v/>
      </c>
      <c r="T4" s="95"/>
      <c r="U4" s="94" t="str">
        <f>+IF(T4="","",(LOOKUP(T4,CriterioControl,CriteriosControles!$B$2:$B$15)))</f>
        <v/>
      </c>
      <c r="V4" s="95"/>
      <c r="W4" s="94" t="str">
        <f>+IF(V4="","",(LOOKUP(V4,CriterioControl,CriteriosControles!$B$2:$B$15)))</f>
        <v/>
      </c>
      <c r="X4" s="95"/>
      <c r="Y4" s="94" t="str">
        <f>+IF(X4="","",(LOOKUP(X4,CriterioControl,CriteriosControles!$B$2:$B$15)))</f>
        <v/>
      </c>
      <c r="Z4" s="95"/>
      <c r="AA4" s="94" t="str">
        <f>+IF(Z4="","",(LOOKUP(Z4,CriterioControl,CriteriosControles!$B$2:$B$15)))</f>
        <v/>
      </c>
      <c r="AB4" s="96">
        <f>(SUM(E4:AA4)/(C4*5))</f>
        <v>1</v>
      </c>
      <c r="AC4" s="96">
        <f>1-AB4</f>
        <v>0</v>
      </c>
      <c r="AD4" s="97">
        <f t="shared" ref="AD4:AD10" si="0">B4*AC4</f>
        <v>0</v>
      </c>
    </row>
    <row r="5" spans="1:30" ht="45" x14ac:dyDescent="0.25">
      <c r="A5" s="69" t="s">
        <v>188</v>
      </c>
      <c r="B5" s="95">
        <f>Riesgos!I6</f>
        <v>12</v>
      </c>
      <c r="C5" s="94">
        <v>3</v>
      </c>
      <c r="D5" s="103" t="s">
        <v>139</v>
      </c>
      <c r="E5" s="94">
        <f>+IF(D5="","",(LOOKUP(D5,CriterioControl,CriteriosControles!$B$2:$B$15)))</f>
        <v>5</v>
      </c>
      <c r="F5" s="103" t="s">
        <v>143</v>
      </c>
      <c r="G5" s="94">
        <f>+IF(F5="","",(LOOKUP(F5,CriterioControl,CriteriosControles!$B$2:$B$15)))</f>
        <v>4</v>
      </c>
      <c r="H5" s="103" t="s">
        <v>136</v>
      </c>
      <c r="I5" s="94">
        <f>+IF(H5="","",(LOOKUP(H5,CriterioControl,CriteriosControles!$B$2:$B$15)))</f>
        <v>1</v>
      </c>
      <c r="J5" s="103"/>
      <c r="K5" s="94" t="str">
        <f>+IF(J5="","",(LOOKUP(J5,CriterioControl,CriteriosControles!$B$2:$B$15)))</f>
        <v/>
      </c>
      <c r="L5" s="103"/>
      <c r="M5" s="94" t="str">
        <f>+IF(L5="","",(LOOKUP(L5,CriterioControl,CriteriosControles!$B$2:$B$15)))</f>
        <v/>
      </c>
      <c r="N5" s="95"/>
      <c r="O5" s="94" t="str">
        <f>+IF(N5="","",(LOOKUP(N5,CriterioControl,CriteriosControles!$B$2:$B$15)))</f>
        <v/>
      </c>
      <c r="P5" s="95"/>
      <c r="Q5" s="94" t="str">
        <f>+IF(P5="","",(LOOKUP(P5,CriterioControl,CriteriosControles!$B$2:$B$15)))</f>
        <v/>
      </c>
      <c r="R5" s="95"/>
      <c r="S5" s="94" t="str">
        <f>+IF(R5="","",(LOOKUP(R5,CriterioControl,CriteriosControles!$B$2:$B$15)))</f>
        <v/>
      </c>
      <c r="T5" s="95"/>
      <c r="U5" s="94" t="str">
        <f>+IF(T5="","",(LOOKUP(T5,CriterioControl,CriteriosControles!$B$2:$B$15)))</f>
        <v/>
      </c>
      <c r="V5" s="95"/>
      <c r="W5" s="94" t="str">
        <f>+IF(V5="","",(LOOKUP(V5,CriterioControl,CriteriosControles!$B$2:$B$15)))</f>
        <v/>
      </c>
      <c r="X5" s="95"/>
      <c r="Y5" s="94" t="str">
        <f>+IF(X5="","",(LOOKUP(X5,CriterioControl,CriteriosControles!$B$2:$B$15)))</f>
        <v/>
      </c>
      <c r="Z5" s="95"/>
      <c r="AA5" s="94" t="str">
        <f>+IF(Z5="","",(LOOKUP(Z5,CriterioControl,CriteriosControles!$B$2:$B$15)))</f>
        <v/>
      </c>
      <c r="AB5" s="96">
        <f t="shared" ref="AB5:AB23" si="1">(SUM(E5:AA5)/(C5*5))</f>
        <v>0.66666666666666663</v>
      </c>
      <c r="AC5" s="96">
        <f t="shared" ref="AC5:AC16" si="2">1-AB5</f>
        <v>0.33333333333333337</v>
      </c>
      <c r="AD5" s="97">
        <f t="shared" si="0"/>
        <v>4</v>
      </c>
    </row>
    <row r="6" spans="1:30" ht="45" x14ac:dyDescent="0.25">
      <c r="A6" s="69" t="s">
        <v>190</v>
      </c>
      <c r="B6" s="95">
        <f>Riesgos!I7</f>
        <v>12</v>
      </c>
      <c r="C6" s="94">
        <v>3</v>
      </c>
      <c r="D6" s="103" t="s">
        <v>142</v>
      </c>
      <c r="E6" s="94">
        <f>+IF(D6="","",(LOOKUP(D6,CriterioControl,CriteriosControles!$B$2:$B$15)))</f>
        <v>3</v>
      </c>
      <c r="F6" s="103" t="s">
        <v>139</v>
      </c>
      <c r="G6" s="94">
        <f>+IF(F6="","",(LOOKUP(F6,CriterioControl,CriteriosControles!$B$2:$B$15)))</f>
        <v>5</v>
      </c>
      <c r="H6" s="103" t="s">
        <v>143</v>
      </c>
      <c r="I6" s="94">
        <f>+IF(H6="","",(LOOKUP(H6,CriterioControl,CriteriosControles!$B$2:$B$15)))</f>
        <v>4</v>
      </c>
      <c r="J6" s="103"/>
      <c r="K6" s="94" t="str">
        <f>+IF(J6="","",(LOOKUP(J6,CriterioControl,CriteriosControles!$B$2:$B$15)))</f>
        <v/>
      </c>
      <c r="L6" s="103"/>
      <c r="M6" s="94" t="str">
        <f>+IF(L6="","",(LOOKUP(L6,CriterioControl,CriteriosControles!$B$2:$B$15)))</f>
        <v/>
      </c>
      <c r="N6" s="95"/>
      <c r="O6" s="94" t="str">
        <f>+IF(N6="","",(LOOKUP(N6,CriterioControl,CriteriosControles!$B$2:$B$15)))</f>
        <v/>
      </c>
      <c r="P6" s="95"/>
      <c r="Q6" s="94" t="str">
        <f>+IF(P6="","",(LOOKUP(P6,CriterioControl,CriteriosControles!$B$2:$B$15)))</f>
        <v/>
      </c>
      <c r="R6" s="95"/>
      <c r="S6" s="94" t="str">
        <f>+IF(R6="","",(LOOKUP(R6,CriterioControl,CriteriosControles!$B$2:$B$15)))</f>
        <v/>
      </c>
      <c r="T6" s="95"/>
      <c r="U6" s="94" t="str">
        <f>+IF(T6="","",(LOOKUP(T6,CriterioControl,CriteriosControles!$B$2:$B$15)))</f>
        <v/>
      </c>
      <c r="V6" s="95"/>
      <c r="W6" s="94" t="str">
        <f>+IF(V6="","",(LOOKUP(V6,CriterioControl,CriteriosControles!$B$2:$B$15)))</f>
        <v/>
      </c>
      <c r="X6" s="95"/>
      <c r="Y6" s="94" t="str">
        <f>+IF(X6="","",(LOOKUP(X6,CriterioControl,CriteriosControles!$B$2:$B$15)))</f>
        <v/>
      </c>
      <c r="Z6" s="95"/>
      <c r="AA6" s="94" t="str">
        <f>+IF(Z6="","",(LOOKUP(Z6,CriterioControl,CriteriosControles!$B$2:$B$15)))</f>
        <v/>
      </c>
      <c r="AB6" s="96">
        <f t="shared" si="1"/>
        <v>0.8</v>
      </c>
      <c r="AC6" s="96">
        <f t="shared" si="2"/>
        <v>0.19999999999999996</v>
      </c>
      <c r="AD6" s="97">
        <f t="shared" si="0"/>
        <v>2.3999999999999995</v>
      </c>
    </row>
    <row r="7" spans="1:30" ht="30" x14ac:dyDescent="0.25">
      <c r="A7" s="69" t="s">
        <v>191</v>
      </c>
      <c r="B7" s="95">
        <f>Riesgos!I8</f>
        <v>8</v>
      </c>
      <c r="C7" s="94">
        <v>2</v>
      </c>
      <c r="D7" s="103" t="s">
        <v>143</v>
      </c>
      <c r="E7" s="94">
        <f>+IF(D7="","",(LOOKUP(D7,CriterioControl,CriteriosControles!$B$2:$B$15)))</f>
        <v>4</v>
      </c>
      <c r="F7" s="103" t="s">
        <v>142</v>
      </c>
      <c r="G7" s="94">
        <f>+IF(F7="","",(LOOKUP(F7,CriterioControl,CriteriosControles!$B$2:$B$15)))</f>
        <v>3</v>
      </c>
      <c r="H7" s="103"/>
      <c r="I7" s="94" t="str">
        <f>+IF(H7="","",(LOOKUP(H7,CriterioControl,CriteriosControles!$B$2:$B$15)))</f>
        <v/>
      </c>
      <c r="J7" s="103"/>
      <c r="K7" s="94" t="str">
        <f>+IF(J7="","",(LOOKUP(J7,CriterioControl,CriteriosControles!$B$2:$B$15)))</f>
        <v/>
      </c>
      <c r="L7" s="103"/>
      <c r="M7" s="94" t="str">
        <f>+IF(L7="","",(LOOKUP(L7,CriterioControl,CriteriosControles!$B$2:$B$15)))</f>
        <v/>
      </c>
      <c r="N7" s="95"/>
      <c r="O7" s="94" t="str">
        <f>+IF(N7="","",(LOOKUP(N7,CriterioControl,CriteriosControles!$B$2:$B$15)))</f>
        <v/>
      </c>
      <c r="P7" s="95"/>
      <c r="Q7" s="94" t="str">
        <f>+IF(P7="","",(LOOKUP(P7,CriterioControl,CriteriosControles!$B$2:$B$15)))</f>
        <v/>
      </c>
      <c r="R7" s="95"/>
      <c r="S7" s="94" t="str">
        <f>+IF(R7="","",(LOOKUP(R7,CriterioControl,CriteriosControles!$B$2:$B$15)))</f>
        <v/>
      </c>
      <c r="T7" s="95"/>
      <c r="U7" s="94" t="str">
        <f>+IF(T7="","",(LOOKUP(T7,CriterioControl,CriteriosControles!$B$2:$B$15)))</f>
        <v/>
      </c>
      <c r="V7" s="95"/>
      <c r="W7" s="94" t="str">
        <f>+IF(V7="","",(LOOKUP(V7,CriterioControl,CriteriosControles!$B$2:$B$15)))</f>
        <v/>
      </c>
      <c r="X7" s="95"/>
      <c r="Y7" s="94" t="str">
        <f>+IF(X7="","",(LOOKUP(X7,CriterioControl,CriteriosControles!$B$2:$B$15)))</f>
        <v/>
      </c>
      <c r="Z7" s="95"/>
      <c r="AA7" s="94" t="str">
        <f>+IF(Z7="","",(LOOKUP(Z7,CriterioControl,CriteriosControles!$B$2:$B$15)))</f>
        <v/>
      </c>
      <c r="AB7" s="96">
        <f t="shared" si="1"/>
        <v>0.7</v>
      </c>
      <c r="AC7" s="96">
        <f t="shared" si="2"/>
        <v>0.30000000000000004</v>
      </c>
      <c r="AD7" s="97">
        <f t="shared" si="0"/>
        <v>2.4000000000000004</v>
      </c>
    </row>
    <row r="8" spans="1:30" ht="45" x14ac:dyDescent="0.25">
      <c r="A8" s="69" t="s">
        <v>196</v>
      </c>
      <c r="B8" s="95">
        <f>Riesgos!I9</f>
        <v>8</v>
      </c>
      <c r="C8" s="94">
        <v>5</v>
      </c>
      <c r="D8" s="103" t="s">
        <v>139</v>
      </c>
      <c r="E8" s="94">
        <f>+IF(D8="","",(LOOKUP(D8,CriterioControl,CriteriosControles!$B$2:$B$15)))</f>
        <v>5</v>
      </c>
      <c r="F8" s="103" t="s">
        <v>139</v>
      </c>
      <c r="G8" s="94">
        <f>+IF(F8="","",(LOOKUP(F8,CriterioControl,CriteriosControles!$B$2:$B$15)))</f>
        <v>5</v>
      </c>
      <c r="H8" s="103" t="s">
        <v>139</v>
      </c>
      <c r="I8" s="94">
        <f>+IF(H8="","",(LOOKUP(H8,CriterioControl,CriteriosControles!$B$2:$B$15)))</f>
        <v>5</v>
      </c>
      <c r="J8" s="103" t="s">
        <v>140</v>
      </c>
      <c r="K8" s="94">
        <f>+IF(J8="","",(LOOKUP(J8,CriterioControl,CriteriosControles!$B$2:$B$15)))</f>
        <v>1</v>
      </c>
      <c r="L8" s="103" t="s">
        <v>136</v>
      </c>
      <c r="M8" s="94">
        <f>+IF(L8="","",(LOOKUP(L8,CriterioControl,CriteriosControles!$B$2:$B$15)))</f>
        <v>1</v>
      </c>
      <c r="N8" s="95"/>
      <c r="O8" s="94" t="str">
        <f>+IF(N8="","",(LOOKUP(N8,CriterioControl,CriteriosControles!$B$2:$B$15)))</f>
        <v/>
      </c>
      <c r="P8" s="95"/>
      <c r="Q8" s="94" t="str">
        <f>+IF(P8="","",(LOOKUP(P8,CriterioControl,CriteriosControles!$B$2:$B$15)))</f>
        <v/>
      </c>
      <c r="R8" s="95"/>
      <c r="S8" s="94" t="str">
        <f>+IF(R8="","",(LOOKUP(R8,CriterioControl,CriteriosControles!$B$2:$B$15)))</f>
        <v/>
      </c>
      <c r="T8" s="95"/>
      <c r="U8" s="94" t="str">
        <f>+IF(T8="","",(LOOKUP(T8,CriterioControl,CriteriosControles!$B$2:$B$15)))</f>
        <v/>
      </c>
      <c r="V8" s="95"/>
      <c r="W8" s="94" t="str">
        <f>+IF(V8="","",(LOOKUP(V8,CriterioControl,CriteriosControles!$B$2:$B$15)))</f>
        <v/>
      </c>
      <c r="X8" s="95"/>
      <c r="Y8" s="94" t="str">
        <f>+IF(X8="","",(LOOKUP(X8,CriterioControl,CriteriosControles!$B$2:$B$15)))</f>
        <v/>
      </c>
      <c r="Z8" s="95"/>
      <c r="AA8" s="94" t="str">
        <f>+IF(Z8="","",(LOOKUP(Z8,CriterioControl,CriteriosControles!$B$2:$B$15)))</f>
        <v/>
      </c>
      <c r="AB8" s="96">
        <f t="shared" si="1"/>
        <v>0.68</v>
      </c>
      <c r="AC8" s="96">
        <f t="shared" si="2"/>
        <v>0.31999999999999995</v>
      </c>
      <c r="AD8" s="97">
        <f t="shared" si="0"/>
        <v>2.5599999999999996</v>
      </c>
    </row>
    <row r="9" spans="1:30" ht="30" x14ac:dyDescent="0.25">
      <c r="A9" s="69" t="s">
        <v>189</v>
      </c>
      <c r="B9" s="95">
        <f>Riesgos!I10</f>
        <v>12</v>
      </c>
      <c r="C9" s="94">
        <v>2</v>
      </c>
      <c r="D9" s="103" t="s">
        <v>139</v>
      </c>
      <c r="E9" s="94">
        <f>+IF(D9="","",(LOOKUP(D9,CriterioControl,CriteriosControles!$B$2:$B$15)))</f>
        <v>5</v>
      </c>
      <c r="F9" s="103" t="s">
        <v>139</v>
      </c>
      <c r="G9" s="94">
        <f>+IF(F9="","",(LOOKUP(F9,CriterioControl,CriteriosControles!$B$2:$B$15)))</f>
        <v>5</v>
      </c>
      <c r="H9" s="103"/>
      <c r="I9" s="94" t="str">
        <f>+IF(H9="","",(LOOKUP(H9,CriterioControl,CriteriosControles!$B$2:$B$15)))</f>
        <v/>
      </c>
      <c r="J9" s="103"/>
      <c r="K9" s="94" t="str">
        <f>+IF(J9="","",(LOOKUP(J9,CriterioControl,CriteriosControles!$B$2:$B$15)))</f>
        <v/>
      </c>
      <c r="L9" s="103"/>
      <c r="M9" s="94" t="str">
        <f>+IF(L9="","",(LOOKUP(L9,CriterioControl,CriteriosControles!$B$2:$B$15)))</f>
        <v/>
      </c>
      <c r="N9" s="95"/>
      <c r="O9" s="94" t="str">
        <f>+IF(N9="","",(LOOKUP(N9,CriterioControl,CriteriosControles!$B$2:$B$15)))</f>
        <v/>
      </c>
      <c r="P9" s="95"/>
      <c r="Q9" s="94" t="str">
        <f>+IF(P9="","",(LOOKUP(P9,CriterioControl,CriteriosControles!$B$2:$B$15)))</f>
        <v/>
      </c>
      <c r="R9" s="95"/>
      <c r="S9" s="94" t="str">
        <f>+IF(R9="","",(LOOKUP(R9,CriterioControl,CriteriosControles!$B$2:$B$15)))</f>
        <v/>
      </c>
      <c r="T9" s="95"/>
      <c r="U9" s="94" t="str">
        <f>+IF(T9="","",(LOOKUP(T9,CriterioControl,CriteriosControles!$B$2:$B$15)))</f>
        <v/>
      </c>
      <c r="V9" s="95"/>
      <c r="W9" s="94" t="str">
        <f>+IF(V9="","",(LOOKUP(V9,CriterioControl,CriteriosControles!$B$2:$B$15)))</f>
        <v/>
      </c>
      <c r="X9" s="95"/>
      <c r="Y9" s="94" t="str">
        <f>+IF(X9="","",(LOOKUP(X9,CriterioControl,CriteriosControles!$B$2:$B$15)))</f>
        <v/>
      </c>
      <c r="Z9" s="95"/>
      <c r="AA9" s="94" t="str">
        <f>+IF(Z9="","",(LOOKUP(Z9,CriterioControl,CriteriosControles!$B$2:$B$15)))</f>
        <v/>
      </c>
      <c r="AB9" s="96">
        <f t="shared" si="1"/>
        <v>1</v>
      </c>
      <c r="AC9" s="96">
        <f t="shared" si="2"/>
        <v>0</v>
      </c>
      <c r="AD9" s="97">
        <f t="shared" si="0"/>
        <v>0</v>
      </c>
    </row>
    <row r="10" spans="1:30" ht="25.5" x14ac:dyDescent="0.25">
      <c r="A10" s="69" t="s">
        <v>189</v>
      </c>
      <c r="B10" s="95">
        <f>Riesgos!I11</f>
        <v>4</v>
      </c>
      <c r="C10" s="94">
        <v>1</v>
      </c>
      <c r="D10" s="103" t="s">
        <v>143</v>
      </c>
      <c r="E10" s="94">
        <f>+IF(D10="","",(LOOKUP(D10,CriterioControl,CriteriosControles!$B$2:$B$15)))</f>
        <v>4</v>
      </c>
      <c r="F10" s="103"/>
      <c r="G10" s="94" t="str">
        <f>+IF(F10="","",(LOOKUP(F10,CriterioControl,CriteriosControles!$B$2:$B$15)))</f>
        <v/>
      </c>
      <c r="H10" s="103"/>
      <c r="I10" s="94" t="str">
        <f>+IF(H10="","",(LOOKUP(H10,CriterioControl,CriteriosControles!$B$2:$B$15)))</f>
        <v/>
      </c>
      <c r="J10" s="103"/>
      <c r="K10" s="94" t="str">
        <f>+IF(J10="","",(LOOKUP(J10,CriterioControl,CriteriosControles!$B$2:$B$15)))</f>
        <v/>
      </c>
      <c r="L10" s="103"/>
      <c r="M10" s="94" t="str">
        <f>+IF(L10="","",(LOOKUP(L10,CriterioControl,CriteriosControles!$B$2:$B$15)))</f>
        <v/>
      </c>
      <c r="N10" s="95"/>
      <c r="O10" s="94" t="str">
        <f>+IF(N10="","",(LOOKUP(N10,CriterioControl,CriteriosControles!$B$2:$B$15)))</f>
        <v/>
      </c>
      <c r="P10" s="95"/>
      <c r="Q10" s="94" t="str">
        <f>+IF(P10="","",(LOOKUP(P10,CriterioControl,CriteriosControles!$B$2:$B$15)))</f>
        <v/>
      </c>
      <c r="R10" s="95"/>
      <c r="S10" s="94" t="str">
        <f>+IF(R10="","",(LOOKUP(R10,CriterioControl,CriteriosControles!$B$2:$B$15)))</f>
        <v/>
      </c>
      <c r="T10" s="95"/>
      <c r="U10" s="94" t="str">
        <f>+IF(T10="","",(LOOKUP(T10,CriterioControl,CriteriosControles!$B$2:$B$15)))</f>
        <v/>
      </c>
      <c r="V10" s="95"/>
      <c r="W10" s="94" t="str">
        <f>+IF(V10="","",(LOOKUP(V10,CriterioControl,CriteriosControles!$B$2:$B$15)))</f>
        <v/>
      </c>
      <c r="X10" s="95"/>
      <c r="Y10" s="94" t="str">
        <f>+IF(X10="","",(LOOKUP(X10,CriterioControl,CriteriosControles!$B$2:$B$15)))</f>
        <v/>
      </c>
      <c r="Z10" s="95"/>
      <c r="AA10" s="94" t="str">
        <f>+IF(Z10="","",(LOOKUP(Z10,CriterioControl,CriteriosControles!$B$2:$B$15)))</f>
        <v/>
      </c>
      <c r="AB10" s="96">
        <f t="shared" si="1"/>
        <v>0.8</v>
      </c>
      <c r="AC10" s="96">
        <f t="shared" si="2"/>
        <v>0.19999999999999996</v>
      </c>
      <c r="AD10" s="97">
        <f t="shared" si="0"/>
        <v>0.79999999999999982</v>
      </c>
    </row>
    <row r="11" spans="1:30" ht="45" x14ac:dyDescent="0.25">
      <c r="A11" s="69" t="s">
        <v>190</v>
      </c>
      <c r="B11" s="95">
        <f>Riesgos!I12</f>
        <v>12</v>
      </c>
      <c r="C11" s="94">
        <v>4</v>
      </c>
      <c r="D11" s="103" t="s">
        <v>143</v>
      </c>
      <c r="E11" s="94">
        <f>+IF(D11="","",(LOOKUP(D11,CriterioControl,CriteriosControles!$B$2:$B$15)))</f>
        <v>4</v>
      </c>
      <c r="F11" s="103" t="s">
        <v>139</v>
      </c>
      <c r="G11" s="94">
        <f>+IF(F11="","",(LOOKUP(F11,CriterioControl,CriteriosControles!$B$2:$B$15)))</f>
        <v>5</v>
      </c>
      <c r="H11" s="103" t="s">
        <v>139</v>
      </c>
      <c r="I11" s="94">
        <f>+IF(H11="","",(LOOKUP(H11,CriterioControl,CriteriosControles!$B$2:$B$15)))</f>
        <v>5</v>
      </c>
      <c r="J11" s="103" t="s">
        <v>142</v>
      </c>
      <c r="K11" s="94">
        <f>+IF(J11="","",(LOOKUP(J11,CriterioControl,CriteriosControles!$B$2:$B$15)))</f>
        <v>3</v>
      </c>
      <c r="L11" s="103"/>
      <c r="M11" s="94" t="str">
        <f>+IF(L11="","",(LOOKUP(L11,CriterioControl,CriteriosControles!$B$2:$B$15)))</f>
        <v/>
      </c>
      <c r="N11" s="95"/>
      <c r="O11" s="94" t="str">
        <f>+IF(N11="","",(LOOKUP(N11,CriterioControl,CriteriosControles!$B$2:$B$15)))</f>
        <v/>
      </c>
      <c r="P11" s="95"/>
      <c r="Q11" s="94" t="str">
        <f>+IF(P11="","",(LOOKUP(P11,CriterioControl,CriteriosControles!$B$2:$B$15)))</f>
        <v/>
      </c>
      <c r="R11" s="95"/>
      <c r="S11" s="94" t="str">
        <f>+IF(R11="","",(LOOKUP(R11,CriterioControl,CriteriosControles!$B$2:$B$15)))</f>
        <v/>
      </c>
      <c r="T11" s="95"/>
      <c r="U11" s="94" t="str">
        <f>+IF(T11="","",(LOOKUP(T11,CriterioControl,CriteriosControles!$B$2:$B$15)))</f>
        <v/>
      </c>
      <c r="V11" s="95"/>
      <c r="W11" s="94" t="str">
        <f>+IF(V11="","",(LOOKUP(V11,CriterioControl,CriteriosControles!$B$2:$B$15)))</f>
        <v/>
      </c>
      <c r="X11" s="95"/>
      <c r="Y11" s="94" t="str">
        <f>+IF(X11="","",(LOOKUP(X11,CriterioControl,CriteriosControles!$B$2:$B$15)))</f>
        <v/>
      </c>
      <c r="Z11" s="95"/>
      <c r="AA11" s="94" t="str">
        <f>+IF(Z11="","",(LOOKUP(Z11,CriterioControl,CriteriosControles!$B$2:$B$15)))</f>
        <v/>
      </c>
      <c r="AB11" s="96">
        <f t="shared" si="1"/>
        <v>0.85</v>
      </c>
      <c r="AC11" s="96">
        <f t="shared" si="2"/>
        <v>0.15000000000000002</v>
      </c>
      <c r="AD11" s="97">
        <f>AC11*B11</f>
        <v>1.8000000000000003</v>
      </c>
    </row>
    <row r="12" spans="1:30" x14ac:dyDescent="0.25">
      <c r="A12" s="69" t="s">
        <v>190</v>
      </c>
      <c r="B12" s="95">
        <f>Riesgos!I13</f>
        <v>4</v>
      </c>
      <c r="C12" s="94">
        <v>1</v>
      </c>
      <c r="D12" s="103" t="s">
        <v>143</v>
      </c>
      <c r="E12" s="94">
        <f>+IF(D12="","",(LOOKUP(D12,CriterioControl,CriteriosControles!$B$2:$B$15)))</f>
        <v>4</v>
      </c>
      <c r="F12" s="103"/>
      <c r="G12" s="94" t="str">
        <f>+IF(F12="","",(LOOKUP(F12,CriterioControl,CriteriosControles!$B$2:$B$15)))</f>
        <v/>
      </c>
      <c r="H12" s="103"/>
      <c r="I12" s="94" t="str">
        <f>+IF(H12="","",(LOOKUP(H12,CriterioControl,CriteriosControles!$B$2:$B$15)))</f>
        <v/>
      </c>
      <c r="J12" s="103"/>
      <c r="K12" s="94" t="str">
        <f>+IF(J12="","",(LOOKUP(J12,CriterioControl,CriteriosControles!$B$2:$B$15)))</f>
        <v/>
      </c>
      <c r="L12" s="103"/>
      <c r="M12" s="94" t="str">
        <f>+IF(L12="","",(LOOKUP(L12,CriterioControl,CriteriosControles!$B$2:$B$15)))</f>
        <v/>
      </c>
      <c r="N12" s="95"/>
      <c r="O12" s="94" t="str">
        <f>+IF(N12="","",(LOOKUP(N12,CriterioControl,CriteriosControles!$B$2:$B$15)))</f>
        <v/>
      </c>
      <c r="P12" s="95"/>
      <c r="Q12" s="94" t="str">
        <f>+IF(P12="","",(LOOKUP(P12,CriterioControl,CriteriosControles!$B$2:$B$15)))</f>
        <v/>
      </c>
      <c r="R12" s="95"/>
      <c r="S12" s="94" t="str">
        <f>+IF(R12="","",(LOOKUP(R12,CriterioControl,CriteriosControles!$B$2:$B$15)))</f>
        <v/>
      </c>
      <c r="T12" s="95"/>
      <c r="U12" s="94" t="str">
        <f>+IF(T12="","",(LOOKUP(T12,CriterioControl,CriteriosControles!$B$2:$B$15)))</f>
        <v/>
      </c>
      <c r="V12" s="95"/>
      <c r="W12" s="94" t="str">
        <f>+IF(V12="","",(LOOKUP(V12,CriterioControl,CriteriosControles!$B$2:$B$15)))</f>
        <v/>
      </c>
      <c r="X12" s="95"/>
      <c r="Y12" s="94" t="str">
        <f>+IF(X12="","",(LOOKUP(X12,CriterioControl,CriteriosControles!$B$2:$B$15)))</f>
        <v/>
      </c>
      <c r="Z12" s="95"/>
      <c r="AA12" s="94" t="str">
        <f>+IF(Z12="","",(LOOKUP(Z12,CriterioControl,CriteriosControles!$B$2:$B$15)))</f>
        <v/>
      </c>
      <c r="AB12" s="96">
        <f t="shared" si="1"/>
        <v>0.8</v>
      </c>
      <c r="AC12" s="96">
        <f t="shared" si="2"/>
        <v>0.19999999999999996</v>
      </c>
      <c r="AD12" s="97">
        <f>AC12*B12</f>
        <v>0.79999999999999982</v>
      </c>
    </row>
    <row r="13" spans="1:30" ht="45" x14ac:dyDescent="0.25">
      <c r="A13" s="69" t="s">
        <v>195</v>
      </c>
      <c r="B13" s="95">
        <f>Riesgos!I14</f>
        <v>4</v>
      </c>
      <c r="C13" s="94">
        <v>4</v>
      </c>
      <c r="D13" s="103" t="s">
        <v>139</v>
      </c>
      <c r="E13" s="94">
        <f>+IF(D13="","",(LOOKUP(D13,CriterioControl,CriteriosControles!$B$2:$B$15)))</f>
        <v>5</v>
      </c>
      <c r="F13" s="103" t="s">
        <v>139</v>
      </c>
      <c r="G13" s="94">
        <f>+IF(F13="","",(LOOKUP(F13,CriterioControl,CriteriosControles!$B$2:$B$15)))</f>
        <v>5</v>
      </c>
      <c r="H13" s="103" t="s">
        <v>139</v>
      </c>
      <c r="I13" s="94">
        <f>+IF(H13="","",(LOOKUP(H13,CriterioControl,CriteriosControles!$B$2:$B$15)))</f>
        <v>5</v>
      </c>
      <c r="J13" s="103" t="s">
        <v>139</v>
      </c>
      <c r="K13" s="94">
        <f>+IF(J13="","",(LOOKUP(J13,CriterioControl,CriteriosControles!$B$2:$B$15)))</f>
        <v>5</v>
      </c>
      <c r="L13" s="103"/>
      <c r="M13" s="94" t="str">
        <f>+IF(L13="","",(LOOKUP(L13,CriterioControl,CriteriosControles!$B$2:$B$15)))</f>
        <v/>
      </c>
      <c r="N13" s="95"/>
      <c r="O13" s="94" t="str">
        <f>+IF(N13="","",(LOOKUP(N13,CriterioControl,CriteriosControles!$B$2:$B$15)))</f>
        <v/>
      </c>
      <c r="P13" s="95"/>
      <c r="Q13" s="94" t="str">
        <f>+IF(P13="","",(LOOKUP(P13,CriterioControl,CriteriosControles!$B$2:$B$15)))</f>
        <v/>
      </c>
      <c r="R13" s="95"/>
      <c r="S13" s="94" t="str">
        <f>+IF(R13="","",(LOOKUP(R13,CriterioControl,CriteriosControles!$B$2:$B$15)))</f>
        <v/>
      </c>
      <c r="T13" s="95"/>
      <c r="U13" s="94" t="str">
        <f>+IF(T13="","",(LOOKUP(T13,CriterioControl,CriteriosControles!$B$2:$B$15)))</f>
        <v/>
      </c>
      <c r="V13" s="95"/>
      <c r="W13" s="94" t="str">
        <f>+IF(V13="","",(LOOKUP(V13,CriterioControl,CriteriosControles!$B$2:$B$15)))</f>
        <v/>
      </c>
      <c r="X13" s="95"/>
      <c r="Y13" s="94" t="str">
        <f>+IF(X13="","",(LOOKUP(X13,CriterioControl,CriteriosControles!$B$2:$B$15)))</f>
        <v/>
      </c>
      <c r="Z13" s="95"/>
      <c r="AA13" s="94" t="str">
        <f>+IF(Z13="","",(LOOKUP(Z13,CriterioControl,CriteriosControles!$B$2:$B$15)))</f>
        <v/>
      </c>
      <c r="AB13" s="96">
        <f t="shared" si="1"/>
        <v>1</v>
      </c>
      <c r="AC13" s="96">
        <f t="shared" si="2"/>
        <v>0</v>
      </c>
      <c r="AD13" s="97">
        <f t="shared" ref="AD13:AD23" si="3">B13*AC13</f>
        <v>0</v>
      </c>
    </row>
    <row r="14" spans="1:30" ht="45" x14ac:dyDescent="0.25">
      <c r="A14" s="69" t="s">
        <v>190</v>
      </c>
      <c r="B14" s="95">
        <f>Riesgos!I15</f>
        <v>12</v>
      </c>
      <c r="C14" s="94">
        <v>4</v>
      </c>
      <c r="D14" s="103" t="s">
        <v>139</v>
      </c>
      <c r="E14" s="94">
        <f>+IF(D14="","",(LOOKUP(D14,CriterioControl,CriteriosControles!$B$2:$B$15)))</f>
        <v>5</v>
      </c>
      <c r="F14" s="103" t="s">
        <v>139</v>
      </c>
      <c r="G14" s="94">
        <f>+IF(F14="","",(LOOKUP(F14,CriterioControl,CriteriosControles!$B$2:$B$15)))</f>
        <v>5</v>
      </c>
      <c r="H14" s="103" t="s">
        <v>139</v>
      </c>
      <c r="I14" s="94">
        <f>+IF(H14="","",(LOOKUP(H14,CriterioControl,CriteriosControles!$B$2:$B$15)))</f>
        <v>5</v>
      </c>
      <c r="J14" s="103" t="s">
        <v>139</v>
      </c>
      <c r="K14" s="94">
        <f>+IF(J14="","",(LOOKUP(J14,CriterioControl,CriteriosControles!$B$2:$B$15)))</f>
        <v>5</v>
      </c>
      <c r="L14" s="103"/>
      <c r="M14" s="94" t="str">
        <f>+IF(L14="","",(LOOKUP(L14,CriterioControl,CriteriosControles!$B$2:$B$15)))</f>
        <v/>
      </c>
      <c r="N14" s="95"/>
      <c r="O14" s="94" t="str">
        <f>+IF(N14="","",(LOOKUP(N14,CriterioControl,CriteriosControles!$B$2:$B$15)))</f>
        <v/>
      </c>
      <c r="P14" s="95"/>
      <c r="Q14" s="94" t="str">
        <f>+IF(P14="","",(LOOKUP(P14,CriterioControl,CriteriosControles!$B$2:$B$15)))</f>
        <v/>
      </c>
      <c r="R14" s="95"/>
      <c r="S14" s="94" t="str">
        <f>+IF(R14="","",(LOOKUP(R14,CriterioControl,CriteriosControles!$B$2:$B$15)))</f>
        <v/>
      </c>
      <c r="T14" s="95"/>
      <c r="U14" s="94" t="str">
        <f>+IF(T14="","",(LOOKUP(T14,CriterioControl,CriteriosControles!$B$2:$B$15)))</f>
        <v/>
      </c>
      <c r="V14" s="95"/>
      <c r="W14" s="94" t="str">
        <f>+IF(V14="","",(LOOKUP(V14,CriterioControl,CriteriosControles!$B$2:$B$15)))</f>
        <v/>
      </c>
      <c r="X14" s="95"/>
      <c r="Y14" s="94" t="str">
        <f>+IF(X14="","",(LOOKUP(X14,CriterioControl,CriteriosControles!$B$2:$B$15)))</f>
        <v/>
      </c>
      <c r="Z14" s="95"/>
      <c r="AA14" s="94" t="str">
        <f>+IF(Z14="","",(LOOKUP(Z14,CriterioControl,CriteriosControles!$B$2:$B$15)))</f>
        <v/>
      </c>
      <c r="AB14" s="96">
        <f t="shared" si="1"/>
        <v>1</v>
      </c>
      <c r="AC14" s="96">
        <f t="shared" si="2"/>
        <v>0</v>
      </c>
      <c r="AD14" s="97">
        <f t="shared" si="3"/>
        <v>0</v>
      </c>
    </row>
    <row r="15" spans="1:30" ht="45" x14ac:dyDescent="0.25">
      <c r="A15" s="69" t="s">
        <v>190</v>
      </c>
      <c r="B15" s="95">
        <f>Riesgos!I16</f>
        <v>9</v>
      </c>
      <c r="C15" s="94">
        <v>4</v>
      </c>
      <c r="D15" s="103" t="s">
        <v>143</v>
      </c>
      <c r="E15" s="94">
        <f>+IF(D15="","",(LOOKUP(D15,CriterioControl,CriteriosControles!$B$2:$B$15)))</f>
        <v>4</v>
      </c>
      <c r="F15" s="103" t="s">
        <v>143</v>
      </c>
      <c r="G15" s="94">
        <f>+IF(F15="","",(LOOKUP(F15,CriterioControl,CriteriosControles!$B$2:$B$15)))</f>
        <v>4</v>
      </c>
      <c r="H15" s="103" t="s">
        <v>143</v>
      </c>
      <c r="I15" s="94">
        <f>+IF(H15="","",(LOOKUP(H15,CriterioControl,CriteriosControles!$B$2:$B$15)))</f>
        <v>4</v>
      </c>
      <c r="J15" s="103" t="s">
        <v>143</v>
      </c>
      <c r="K15" s="94">
        <f>+IF(J15="","",(LOOKUP(J15,CriterioControl,CriteriosControles!$B$2:$B$15)))</f>
        <v>4</v>
      </c>
      <c r="L15" s="103"/>
      <c r="M15" s="94" t="str">
        <f>+IF(L15="","",(LOOKUP(L15,CriterioControl,CriteriosControles!$B$2:$B$15)))</f>
        <v/>
      </c>
      <c r="N15" s="95"/>
      <c r="O15" s="94" t="str">
        <f>+IF(N15="","",(LOOKUP(N15,CriterioControl,CriteriosControles!$B$2:$B$15)))</f>
        <v/>
      </c>
      <c r="P15" s="95"/>
      <c r="Q15" s="94" t="str">
        <f>+IF(P15="","",(LOOKUP(P15,CriterioControl,CriteriosControles!$B$2:$B$15)))</f>
        <v/>
      </c>
      <c r="R15" s="95"/>
      <c r="S15" s="94" t="str">
        <f>+IF(R15="","",(LOOKUP(R15,CriterioControl,CriteriosControles!$B$2:$B$15)))</f>
        <v/>
      </c>
      <c r="T15" s="95"/>
      <c r="U15" s="94" t="str">
        <f>+IF(T15="","",(LOOKUP(T15,CriterioControl,CriteriosControles!$B$2:$B$15)))</f>
        <v/>
      </c>
      <c r="V15" s="95"/>
      <c r="W15" s="94" t="str">
        <f>+IF(V15="","",(LOOKUP(V15,CriterioControl,CriteriosControles!$B$2:$B$15)))</f>
        <v/>
      </c>
      <c r="X15" s="95"/>
      <c r="Y15" s="94" t="str">
        <f>+IF(X15="","",(LOOKUP(X15,CriterioControl,CriteriosControles!$B$2:$B$15)))</f>
        <v/>
      </c>
      <c r="Z15" s="95"/>
      <c r="AA15" s="94" t="str">
        <f>+IF(Z15="","",(LOOKUP(Z15,CriterioControl,CriteriosControles!$B$2:$B$15)))</f>
        <v/>
      </c>
      <c r="AB15" s="96">
        <f t="shared" si="1"/>
        <v>0.8</v>
      </c>
      <c r="AC15" s="96">
        <f t="shared" si="2"/>
        <v>0.19999999999999996</v>
      </c>
      <c r="AD15" s="97">
        <f t="shared" si="3"/>
        <v>1.7999999999999996</v>
      </c>
    </row>
    <row r="16" spans="1:30" ht="45" x14ac:dyDescent="0.25">
      <c r="A16" s="54" t="s">
        <v>189</v>
      </c>
      <c r="B16" s="95">
        <f>Riesgos!I17</f>
        <v>12</v>
      </c>
      <c r="C16" s="94">
        <v>3</v>
      </c>
      <c r="D16" s="103" t="s">
        <v>139</v>
      </c>
      <c r="E16" s="94">
        <f>+IF(D16="","",(LOOKUP(D16,CriterioControl,CriteriosControles!$B$2:$B$15)))</f>
        <v>5</v>
      </c>
      <c r="F16" s="103" t="s">
        <v>139</v>
      </c>
      <c r="G16" s="94">
        <f>+IF(F16="","",(LOOKUP(F16,CriterioControl,CriteriosControles!$B$2:$B$15)))</f>
        <v>5</v>
      </c>
      <c r="H16" s="103" t="s">
        <v>143</v>
      </c>
      <c r="I16" s="94">
        <f>+IF(H16="","",(LOOKUP(H16,CriterioControl,CriteriosControles!$B$2:$B$15)))</f>
        <v>4</v>
      </c>
      <c r="J16" s="103"/>
      <c r="K16" s="94" t="str">
        <f>+IF(J16="","",(LOOKUP(J16,CriterioControl,CriteriosControles!$B$2:$B$15)))</f>
        <v/>
      </c>
      <c r="L16" s="103"/>
      <c r="M16" s="94" t="str">
        <f>+IF(L16="","",(LOOKUP(L16,CriterioControl,CriteriosControles!$B$2:$B$15)))</f>
        <v/>
      </c>
      <c r="N16" s="95"/>
      <c r="O16" s="94" t="str">
        <f>+IF(N16="","",(LOOKUP(N16,CriterioControl,CriteriosControles!$B$2:$B$15)))</f>
        <v/>
      </c>
      <c r="P16" s="95"/>
      <c r="Q16" s="94" t="str">
        <f>+IF(P16="","",(LOOKUP(P16,CriterioControl,CriteriosControles!$B$2:$B$15)))</f>
        <v/>
      </c>
      <c r="R16" s="95"/>
      <c r="S16" s="94" t="str">
        <f>+IF(R16="","",(LOOKUP(R16,CriterioControl,CriteriosControles!$B$2:$B$15)))</f>
        <v/>
      </c>
      <c r="T16" s="95"/>
      <c r="U16" s="94" t="str">
        <f>+IF(T16="","",(LOOKUP(T16,CriterioControl,CriteriosControles!$B$2:$B$15)))</f>
        <v/>
      </c>
      <c r="V16" s="95"/>
      <c r="W16" s="94" t="str">
        <f>+IF(V16="","",(LOOKUP(V16,CriterioControl,CriteriosControles!$B$2:$B$15)))</f>
        <v/>
      </c>
      <c r="X16" s="95"/>
      <c r="Y16" s="94" t="str">
        <f>+IF(X16="","",(LOOKUP(X16,CriterioControl,CriteriosControles!$B$2:$B$15)))</f>
        <v/>
      </c>
      <c r="Z16" s="95"/>
      <c r="AA16" s="94" t="str">
        <f>+IF(Z16="","",(LOOKUP(Z16,CriterioControl,CriteriosControles!$B$2:$B$15)))</f>
        <v/>
      </c>
      <c r="AB16" s="96">
        <f t="shared" si="1"/>
        <v>0.93333333333333335</v>
      </c>
      <c r="AC16" s="96">
        <f t="shared" si="2"/>
        <v>6.6666666666666652E-2</v>
      </c>
      <c r="AD16" s="97">
        <f t="shared" si="3"/>
        <v>0.79999999999999982</v>
      </c>
    </row>
    <row r="17" spans="1:30" ht="45" x14ac:dyDescent="0.25">
      <c r="A17" s="69" t="s">
        <v>190</v>
      </c>
      <c r="B17" s="95">
        <f>Riesgos!I18</f>
        <v>9</v>
      </c>
      <c r="C17" s="94">
        <v>3</v>
      </c>
      <c r="D17" s="103" t="s">
        <v>140</v>
      </c>
      <c r="E17" s="94">
        <f>+IF(D17="","",(LOOKUP(D17,CriterioControl,CriteriosControles!$B$2:$B$15)))</f>
        <v>1</v>
      </c>
      <c r="F17" s="103" t="s">
        <v>140</v>
      </c>
      <c r="G17" s="94">
        <f>+IF(F17="","",(LOOKUP(F17,CriterioControl,CriteriosControles!$B$2:$B$15)))</f>
        <v>1</v>
      </c>
      <c r="H17" s="103" t="s">
        <v>136</v>
      </c>
      <c r="I17" s="94">
        <f>+IF(H17="","",(LOOKUP(H17,CriterioControl,CriteriosControles!$B$2:$B$15)))</f>
        <v>1</v>
      </c>
      <c r="J17" s="103"/>
      <c r="K17" s="94" t="str">
        <f>+IF(J17="","",(LOOKUP(J17,CriterioControl,CriteriosControles!$B$2:$B$15)))</f>
        <v/>
      </c>
      <c r="L17" s="103"/>
      <c r="M17" s="94" t="str">
        <f>+IF(L17="","",(LOOKUP(L17,CriterioControl,CriteriosControles!$B$2:$B$15)))</f>
        <v/>
      </c>
      <c r="N17" s="95"/>
      <c r="O17" s="94" t="str">
        <f>+IF(N17="","",(LOOKUP(N17,CriterioControl,CriteriosControles!$B$2:$B$15)))</f>
        <v/>
      </c>
      <c r="P17" s="95"/>
      <c r="Q17" s="94" t="str">
        <f>+IF(P17="","",(LOOKUP(P17,CriterioControl,CriteriosControles!$B$2:$B$15)))</f>
        <v/>
      </c>
      <c r="R17" s="95"/>
      <c r="S17" s="94" t="str">
        <f>+IF(R17="","",(LOOKUP(R17,CriterioControl,CriteriosControles!$B$2:$B$15)))</f>
        <v/>
      </c>
      <c r="T17" s="95"/>
      <c r="U17" s="94" t="str">
        <f>+IF(T17="","",(LOOKUP(T17,CriterioControl,CriteriosControles!$B$2:$B$15)))</f>
        <v/>
      </c>
      <c r="V17" s="95"/>
      <c r="W17" s="94" t="str">
        <f>+IF(V17="","",(LOOKUP(V17,CriterioControl,CriteriosControles!$B$2:$B$15)))</f>
        <v/>
      </c>
      <c r="X17" s="95"/>
      <c r="Y17" s="94" t="str">
        <f>+IF(X17="","",(LOOKUP(X17,CriterioControl,CriteriosControles!$B$2:$B$15)))</f>
        <v/>
      </c>
      <c r="Z17" s="95"/>
      <c r="AA17" s="94" t="str">
        <f>+IF(Z17="","",(LOOKUP(Z17,CriterioControl,CriteriosControles!$B$2:$B$15)))</f>
        <v/>
      </c>
      <c r="AB17" s="96">
        <f t="shared" si="1"/>
        <v>0.2</v>
      </c>
      <c r="AC17" s="96">
        <f t="shared" ref="AC17:AC23" si="4">1-AB17</f>
        <v>0.8</v>
      </c>
      <c r="AD17" s="97">
        <f t="shared" si="3"/>
        <v>7.2</v>
      </c>
    </row>
    <row r="18" spans="1:30" ht="45" x14ac:dyDescent="0.25">
      <c r="A18" s="69" t="s">
        <v>190</v>
      </c>
      <c r="B18" s="95">
        <f>Riesgos!I19</f>
        <v>9</v>
      </c>
      <c r="C18" s="94">
        <v>3</v>
      </c>
      <c r="D18" s="103" t="s">
        <v>142</v>
      </c>
      <c r="E18" s="94">
        <f>+IF(D18="","",(LOOKUP(D18,CriterioControl,CriteriosControles!$B$2:$B$15)))</f>
        <v>3</v>
      </c>
      <c r="F18" s="103" t="s">
        <v>139</v>
      </c>
      <c r="G18" s="94">
        <f>+IF(F18="","",(LOOKUP(F18,CriterioControl,CriteriosControles!$B$2:$B$15)))</f>
        <v>5</v>
      </c>
      <c r="H18" s="103" t="s">
        <v>143</v>
      </c>
      <c r="I18" s="94">
        <f>+IF(H18="","",(LOOKUP(H18,CriterioControl,CriteriosControles!$B$2:$B$15)))</f>
        <v>4</v>
      </c>
      <c r="J18" s="103"/>
      <c r="K18" s="94" t="str">
        <f>+IF(J18="","",(LOOKUP(J18,CriterioControl,CriteriosControles!$B$2:$B$15)))</f>
        <v/>
      </c>
      <c r="L18" s="103"/>
      <c r="M18" s="94" t="str">
        <f>+IF(L18="","",(LOOKUP(L18,CriterioControl,CriteriosControles!$B$2:$B$15)))</f>
        <v/>
      </c>
      <c r="N18" s="95"/>
      <c r="O18" s="94" t="str">
        <f>+IF(N18="","",(LOOKUP(N18,CriterioControl,CriteriosControles!$B$2:$B$15)))</f>
        <v/>
      </c>
      <c r="P18" s="95"/>
      <c r="Q18" s="94" t="str">
        <f>+IF(P18="","",(LOOKUP(P18,CriterioControl,CriteriosControles!$B$2:$B$15)))</f>
        <v/>
      </c>
      <c r="R18" s="95"/>
      <c r="S18" s="94" t="str">
        <f>+IF(R18="","",(LOOKUP(R18,CriterioControl,CriteriosControles!$B$2:$B$15)))</f>
        <v/>
      </c>
      <c r="T18" s="95"/>
      <c r="U18" s="94" t="str">
        <f>+IF(T18="","",(LOOKUP(T18,CriterioControl,CriteriosControles!$B$2:$B$15)))</f>
        <v/>
      </c>
      <c r="V18" s="95"/>
      <c r="W18" s="94" t="str">
        <f>+IF(V18="","",(LOOKUP(V18,CriterioControl,CriteriosControles!$B$2:$B$15)))</f>
        <v/>
      </c>
      <c r="X18" s="95"/>
      <c r="Y18" s="94" t="str">
        <f>+IF(X18="","",(LOOKUP(X18,CriterioControl,CriteriosControles!$B$2:$B$15)))</f>
        <v/>
      </c>
      <c r="Z18" s="95"/>
      <c r="AA18" s="94" t="str">
        <f>+IF(Z18="","",(LOOKUP(Z18,CriterioControl,CriteriosControles!$B$2:$B$15)))</f>
        <v/>
      </c>
      <c r="AB18" s="96">
        <f t="shared" si="1"/>
        <v>0.8</v>
      </c>
      <c r="AC18" s="96">
        <f t="shared" si="4"/>
        <v>0.19999999999999996</v>
      </c>
      <c r="AD18" s="97">
        <f t="shared" si="3"/>
        <v>1.7999999999999996</v>
      </c>
    </row>
    <row r="19" spans="1:30" ht="45" x14ac:dyDescent="0.25">
      <c r="A19" s="69" t="s">
        <v>190</v>
      </c>
      <c r="B19" s="95">
        <f>Riesgos!I20</f>
        <v>9</v>
      </c>
      <c r="C19" s="94">
        <v>4</v>
      </c>
      <c r="D19" s="103" t="s">
        <v>140</v>
      </c>
      <c r="E19" s="94">
        <f>+IF(D19="","",(LOOKUP(D19,CriterioControl,CriteriosControles!$B$2:$B$15)))</f>
        <v>1</v>
      </c>
      <c r="F19" s="103" t="s">
        <v>140</v>
      </c>
      <c r="G19" s="94">
        <f>+IF(F19="","",(LOOKUP(F19,CriterioControl,CriteriosControles!$B$2:$B$15)))</f>
        <v>1</v>
      </c>
      <c r="H19" s="103" t="s">
        <v>140</v>
      </c>
      <c r="I19" s="94">
        <f>+IF(H19="","",(LOOKUP(H19,CriterioControl,CriteriosControles!$B$2:$B$15)))</f>
        <v>1</v>
      </c>
      <c r="J19" s="103" t="s">
        <v>136</v>
      </c>
      <c r="K19" s="94">
        <f>+IF(J19="","",(LOOKUP(J19,CriterioControl,CriteriosControles!$B$2:$B$15)))</f>
        <v>1</v>
      </c>
      <c r="L19" s="103"/>
      <c r="M19" s="94" t="str">
        <f>+IF(L19="","",(LOOKUP(L19,CriterioControl,CriteriosControles!$B$2:$B$15)))</f>
        <v/>
      </c>
      <c r="N19" s="95"/>
      <c r="O19" s="94" t="str">
        <f>+IF(N19="","",(LOOKUP(N19,CriterioControl,CriteriosControles!$B$2:$B$15)))</f>
        <v/>
      </c>
      <c r="P19" s="95"/>
      <c r="Q19" s="94" t="str">
        <f>+IF(P19="","",(LOOKUP(P19,CriterioControl,CriteriosControles!$B$2:$B$15)))</f>
        <v/>
      </c>
      <c r="R19" s="95"/>
      <c r="S19" s="94" t="str">
        <f>+IF(R19="","",(LOOKUP(R19,CriterioControl,CriteriosControles!$B$2:$B$15)))</f>
        <v/>
      </c>
      <c r="T19" s="95"/>
      <c r="U19" s="94" t="str">
        <f>+IF(T19="","",(LOOKUP(T19,CriterioControl,CriteriosControles!$B$2:$B$15)))</f>
        <v/>
      </c>
      <c r="V19" s="95"/>
      <c r="W19" s="94" t="str">
        <f>+IF(V19="","",(LOOKUP(V19,CriterioControl,CriteriosControles!$B$2:$B$15)))</f>
        <v/>
      </c>
      <c r="X19" s="95"/>
      <c r="Y19" s="94" t="str">
        <f>+IF(X19="","",(LOOKUP(X19,CriterioControl,CriteriosControles!$B$2:$B$15)))</f>
        <v/>
      </c>
      <c r="Z19" s="95"/>
      <c r="AA19" s="94" t="str">
        <f>+IF(Z19="","",(LOOKUP(Z19,CriterioControl,CriteriosControles!$B$2:$B$15)))</f>
        <v/>
      </c>
      <c r="AB19" s="96">
        <f t="shared" si="1"/>
        <v>0.2</v>
      </c>
      <c r="AC19" s="96">
        <f t="shared" si="4"/>
        <v>0.8</v>
      </c>
      <c r="AD19" s="97">
        <f t="shared" si="3"/>
        <v>7.2</v>
      </c>
    </row>
    <row r="20" spans="1:30" ht="30" x14ac:dyDescent="0.25">
      <c r="A20" s="69" t="s">
        <v>190</v>
      </c>
      <c r="B20" s="95">
        <f>Riesgos!I21</f>
        <v>9</v>
      </c>
      <c r="C20" s="94">
        <v>2</v>
      </c>
      <c r="D20" s="103" t="s">
        <v>139</v>
      </c>
      <c r="E20" s="94">
        <f>+IF(D20="","",(LOOKUP(D20,CriterioControl,CriteriosControles!$B$2:$B$15)))</f>
        <v>5</v>
      </c>
      <c r="F20" s="103" t="s">
        <v>139</v>
      </c>
      <c r="G20" s="94">
        <f>+IF(F20="","",(LOOKUP(F20,CriterioControl,CriteriosControles!$B$2:$B$15)))</f>
        <v>5</v>
      </c>
      <c r="H20" s="103"/>
      <c r="I20" s="94" t="str">
        <f>+IF(H20="","",(LOOKUP(H20,CriterioControl,CriteriosControles!$B$2:$B$15)))</f>
        <v/>
      </c>
      <c r="J20" s="103"/>
      <c r="K20" s="94" t="str">
        <f>+IF(J20="","",(LOOKUP(J20,CriterioControl,CriteriosControles!$B$2:$B$15)))</f>
        <v/>
      </c>
      <c r="L20" s="103"/>
      <c r="M20" s="94" t="str">
        <f>+IF(L20="","",(LOOKUP(L20,CriterioControl,CriteriosControles!$B$2:$B$15)))</f>
        <v/>
      </c>
      <c r="N20" s="95"/>
      <c r="O20" s="94" t="str">
        <f>+IF(N20="","",(LOOKUP(N20,CriterioControl,CriteriosControles!$B$2:$B$15)))</f>
        <v/>
      </c>
      <c r="P20" s="95"/>
      <c r="Q20" s="94" t="str">
        <f>+IF(P20="","",(LOOKUP(P20,CriterioControl,CriteriosControles!$B$2:$B$15)))</f>
        <v/>
      </c>
      <c r="R20" s="95"/>
      <c r="S20" s="94" t="str">
        <f>+IF(R20="","",(LOOKUP(R20,CriterioControl,CriteriosControles!$B$2:$B$15)))</f>
        <v/>
      </c>
      <c r="T20" s="95"/>
      <c r="U20" s="94" t="str">
        <f>+IF(T20="","",(LOOKUP(T20,CriterioControl,CriteriosControles!$B$2:$B$15)))</f>
        <v/>
      </c>
      <c r="V20" s="95"/>
      <c r="W20" s="94" t="str">
        <f>+IF(V20="","",(LOOKUP(V20,CriterioControl,CriteriosControles!$B$2:$B$15)))</f>
        <v/>
      </c>
      <c r="X20" s="95"/>
      <c r="Y20" s="94" t="str">
        <f>+IF(X20="","",(LOOKUP(X20,CriterioControl,CriteriosControles!$B$2:$B$15)))</f>
        <v/>
      </c>
      <c r="Z20" s="95"/>
      <c r="AA20" s="94" t="str">
        <f>+IF(Z20="","",(LOOKUP(Z20,CriterioControl,CriteriosControles!$B$2:$B$15)))</f>
        <v/>
      </c>
      <c r="AB20" s="96">
        <f t="shared" si="1"/>
        <v>1</v>
      </c>
      <c r="AC20" s="96">
        <f t="shared" si="4"/>
        <v>0</v>
      </c>
      <c r="AD20" s="97">
        <f t="shared" si="3"/>
        <v>0</v>
      </c>
    </row>
    <row r="21" spans="1:30" x14ac:dyDescent="0.25">
      <c r="A21" s="93"/>
      <c r="B21" s="95">
        <f>Riesgos!I22</f>
        <v>0</v>
      </c>
      <c r="C21" s="94"/>
      <c r="D21" s="103"/>
      <c r="E21" s="94" t="str">
        <f>+IF(D21="","",(LOOKUP(D21,CriterioControl,CriteriosControles!$B$2:$B$15)))</f>
        <v/>
      </c>
      <c r="F21" s="103"/>
      <c r="G21" s="94" t="str">
        <f>+IF(F21="","",(LOOKUP(F21,CriterioControl,CriteriosControles!$B$2:$B$15)))</f>
        <v/>
      </c>
      <c r="H21" s="103"/>
      <c r="I21" s="94" t="str">
        <f>+IF(H21="","",(LOOKUP(H21,CriterioControl,CriteriosControles!$B$2:$B$15)))</f>
        <v/>
      </c>
      <c r="J21" s="103"/>
      <c r="K21" s="94" t="str">
        <f>+IF(J21="","",(LOOKUP(J21,CriterioControl,CriteriosControles!$B$2:$B$15)))</f>
        <v/>
      </c>
      <c r="L21" s="103"/>
      <c r="M21" s="94" t="str">
        <f>+IF(L21="","",(LOOKUP(L21,CriterioControl,CriteriosControles!$B$2:$B$15)))</f>
        <v/>
      </c>
      <c r="N21" s="95"/>
      <c r="O21" s="94" t="str">
        <f>+IF(N21="","",(LOOKUP(N21,CriterioControl,CriteriosControles!$B$2:$B$15)))</f>
        <v/>
      </c>
      <c r="P21" s="95"/>
      <c r="Q21" s="94" t="str">
        <f>+IF(P21="","",(LOOKUP(P21,CriterioControl,CriteriosControles!$B$2:$B$15)))</f>
        <v/>
      </c>
      <c r="R21" s="95"/>
      <c r="S21" s="94" t="str">
        <f>+IF(R21="","",(LOOKUP(R21,CriterioControl,CriteriosControles!$B$2:$B$15)))</f>
        <v/>
      </c>
      <c r="T21" s="95"/>
      <c r="U21" s="94" t="str">
        <f>+IF(T21="","",(LOOKUP(T21,CriterioControl,CriteriosControles!$B$2:$B$15)))</f>
        <v/>
      </c>
      <c r="V21" s="95"/>
      <c r="W21" s="94" t="str">
        <f>+IF(V21="","",(LOOKUP(V21,CriterioControl,CriteriosControles!$B$2:$B$15)))</f>
        <v/>
      </c>
      <c r="X21" s="95"/>
      <c r="Y21" s="94" t="str">
        <f>+IF(X21="","",(LOOKUP(X21,CriterioControl,CriteriosControles!$B$2:$B$15)))</f>
        <v/>
      </c>
      <c r="Z21" s="95"/>
      <c r="AA21" s="94" t="str">
        <f>+IF(Z21="","",(LOOKUP(Z21,CriterioControl,CriteriosControles!$B$2:$B$15)))</f>
        <v/>
      </c>
      <c r="AB21" s="96" t="e">
        <f t="shared" si="1"/>
        <v>#DIV/0!</v>
      </c>
      <c r="AC21" s="96" t="e">
        <f t="shared" si="4"/>
        <v>#DIV/0!</v>
      </c>
      <c r="AD21" s="97" t="e">
        <f t="shared" si="3"/>
        <v>#DIV/0!</v>
      </c>
    </row>
    <row r="22" spans="1:30" x14ac:dyDescent="0.25">
      <c r="A22" s="93">
        <f>Riesgos!C23</f>
        <v>0</v>
      </c>
      <c r="B22" s="95">
        <f>Riesgos!I23</f>
        <v>0</v>
      </c>
      <c r="C22" s="94"/>
      <c r="D22" s="103"/>
      <c r="E22" s="94" t="str">
        <f>+IF(D22="","",(LOOKUP(D22,CriterioControl,CriteriosControles!$B$2:$B$15)))</f>
        <v/>
      </c>
      <c r="F22" s="103"/>
      <c r="G22" s="94" t="str">
        <f>+IF(F22="","",(LOOKUP(F22,CriterioControl,CriteriosControles!$B$2:$B$15)))</f>
        <v/>
      </c>
      <c r="H22" s="103"/>
      <c r="I22" s="94" t="str">
        <f>+IF(H22="","",(LOOKUP(H22,CriterioControl,CriteriosControles!$B$2:$B$15)))</f>
        <v/>
      </c>
      <c r="J22" s="103"/>
      <c r="K22" s="94" t="str">
        <f>+IF(J22="","",(LOOKUP(J22,CriterioControl,CriteriosControles!$B$2:$B$15)))</f>
        <v/>
      </c>
      <c r="L22" s="103"/>
      <c r="M22" s="94" t="str">
        <f>+IF(L22="","",(LOOKUP(L22,CriterioControl,CriteriosControles!$B$2:$B$15)))</f>
        <v/>
      </c>
      <c r="N22" s="95"/>
      <c r="O22" s="94" t="str">
        <f>+IF(N22="","",(LOOKUP(N22,CriterioControl,CriteriosControles!$B$2:$B$15)))</f>
        <v/>
      </c>
      <c r="P22" s="95"/>
      <c r="Q22" s="94" t="str">
        <f>+IF(P22="","",(LOOKUP(P22,CriterioControl,CriteriosControles!$B$2:$B$15)))</f>
        <v/>
      </c>
      <c r="R22" s="95"/>
      <c r="S22" s="94" t="str">
        <f>+IF(R22="","",(LOOKUP(R22,CriterioControl,CriteriosControles!$B$2:$B$15)))</f>
        <v/>
      </c>
      <c r="T22" s="95"/>
      <c r="U22" s="94" t="str">
        <f>+IF(T22="","",(LOOKUP(T22,CriterioControl,CriteriosControles!$B$2:$B$15)))</f>
        <v/>
      </c>
      <c r="V22" s="95"/>
      <c r="W22" s="94" t="str">
        <f>+IF(V22="","",(LOOKUP(V22,CriterioControl,CriteriosControles!$B$2:$B$15)))</f>
        <v/>
      </c>
      <c r="X22" s="95"/>
      <c r="Y22" s="94" t="str">
        <f>+IF(X22="","",(LOOKUP(X22,CriterioControl,CriteriosControles!$B$2:$B$15)))</f>
        <v/>
      </c>
      <c r="Z22" s="95"/>
      <c r="AA22" s="94" t="str">
        <f>+IF(Z22="","",(LOOKUP(Z22,CriterioControl,CriteriosControles!$B$2:$B$15)))</f>
        <v/>
      </c>
      <c r="AB22" s="96" t="e">
        <f t="shared" si="1"/>
        <v>#DIV/0!</v>
      </c>
      <c r="AC22" s="96" t="e">
        <f t="shared" si="4"/>
        <v>#DIV/0!</v>
      </c>
      <c r="AD22" s="97" t="e">
        <f t="shared" si="3"/>
        <v>#DIV/0!</v>
      </c>
    </row>
    <row r="23" spans="1:30" x14ac:dyDescent="0.25">
      <c r="A23" s="93">
        <f>Riesgos!C24</f>
        <v>0</v>
      </c>
      <c r="B23" s="95">
        <f>Riesgos!I24</f>
        <v>0</v>
      </c>
      <c r="C23" s="94"/>
      <c r="D23" s="103"/>
      <c r="E23" s="94" t="str">
        <f>+IF(D23="","",(LOOKUP(D23,CriterioControl,CriteriosControles!$B$2:$B$15)))</f>
        <v/>
      </c>
      <c r="F23" s="103"/>
      <c r="G23" s="94" t="str">
        <f>+IF(F23="","",(LOOKUP(F23,CriterioControl,CriteriosControles!$B$2:$B$15)))</f>
        <v/>
      </c>
      <c r="H23" s="103"/>
      <c r="I23" s="94" t="str">
        <f>+IF(H23="","",(LOOKUP(H23,CriterioControl,CriteriosControles!$B$2:$B$15)))</f>
        <v/>
      </c>
      <c r="J23" s="103"/>
      <c r="K23" s="94" t="str">
        <f>+IF(J23="","",(LOOKUP(J23,CriterioControl,CriteriosControles!$B$2:$B$15)))</f>
        <v/>
      </c>
      <c r="L23" s="103"/>
      <c r="M23" s="94" t="str">
        <f>+IF(L23="","",(LOOKUP(L23,CriterioControl,CriteriosControles!$B$2:$B$15)))</f>
        <v/>
      </c>
      <c r="N23" s="95"/>
      <c r="O23" s="94" t="str">
        <f>+IF(N23="","",(LOOKUP(N23,CriterioControl,CriteriosControles!$B$2:$B$15)))</f>
        <v/>
      </c>
      <c r="P23" s="95"/>
      <c r="Q23" s="94" t="str">
        <f>+IF(P23="","",(LOOKUP(P23,CriterioControl,CriteriosControles!$B$2:$B$15)))</f>
        <v/>
      </c>
      <c r="R23" s="95"/>
      <c r="S23" s="94" t="str">
        <f>+IF(R23="","",(LOOKUP(R23,CriterioControl,CriteriosControles!$B$2:$B$15)))</f>
        <v/>
      </c>
      <c r="T23" s="95"/>
      <c r="U23" s="94" t="str">
        <f>+IF(T23="","",(LOOKUP(T23,CriterioControl,CriteriosControles!$B$2:$B$15)))</f>
        <v/>
      </c>
      <c r="V23" s="95"/>
      <c r="W23" s="94" t="str">
        <f>+IF(V23="","",(LOOKUP(V23,CriterioControl,CriteriosControles!$B$2:$B$15)))</f>
        <v/>
      </c>
      <c r="X23" s="95"/>
      <c r="Y23" s="94" t="str">
        <f>+IF(X23="","",(LOOKUP(X23,CriterioControl,CriteriosControles!$B$2:$B$15)))</f>
        <v/>
      </c>
      <c r="Z23" s="95"/>
      <c r="AA23" s="94" t="str">
        <f>+IF(Z23="","",(LOOKUP(Z23,CriterioControl,CriteriosControles!$B$2:$B$15)))</f>
        <v/>
      </c>
      <c r="AB23" s="96" t="e">
        <f t="shared" si="1"/>
        <v>#DIV/0!</v>
      </c>
      <c r="AC23" s="96" t="e">
        <f t="shared" si="4"/>
        <v>#DIV/0!</v>
      </c>
      <c r="AD23" s="97" t="e">
        <f t="shared" si="3"/>
        <v>#DIV/0!</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2" priority="44" operator="notEqual">
      <formula>""</formula>
    </cfRule>
  </conditionalFormatting>
  <conditionalFormatting sqref="G4:G23">
    <cfRule type="cellIs" dxfId="21" priority="11" operator="notEqual">
      <formula>""</formula>
    </cfRule>
  </conditionalFormatting>
  <conditionalFormatting sqref="I4:I23">
    <cfRule type="cellIs" dxfId="20" priority="10" operator="notEqual">
      <formula>""</formula>
    </cfRule>
  </conditionalFormatting>
  <conditionalFormatting sqref="K4:K23">
    <cfRule type="cellIs" dxfId="19" priority="9" operator="notEqual">
      <formula>""</formula>
    </cfRule>
  </conditionalFormatting>
  <conditionalFormatting sqref="M4:M23">
    <cfRule type="cellIs" dxfId="18" priority="8" operator="notEqual">
      <formula>""</formula>
    </cfRule>
  </conditionalFormatting>
  <conditionalFormatting sqref="O4:O23">
    <cfRule type="cellIs" dxfId="17" priority="7" operator="notEqual">
      <formula>""</formula>
    </cfRule>
  </conditionalFormatting>
  <conditionalFormatting sqref="Q4:Q23">
    <cfRule type="cellIs" dxfId="16" priority="6" operator="notEqual">
      <formula>""</formula>
    </cfRule>
  </conditionalFormatting>
  <conditionalFormatting sqref="S4:S23">
    <cfRule type="cellIs" dxfId="15" priority="5" operator="notEqual">
      <formula>""</formula>
    </cfRule>
  </conditionalFormatting>
  <conditionalFormatting sqref="U4:U23">
    <cfRule type="cellIs" dxfId="14" priority="4" operator="notEqual">
      <formula>""</formula>
    </cfRule>
  </conditionalFormatting>
  <conditionalFormatting sqref="W4:W23">
    <cfRule type="cellIs" dxfId="13" priority="3" operator="notEqual">
      <formula>""</formula>
    </cfRule>
  </conditionalFormatting>
  <conditionalFormatting sqref="Y4:Y23">
    <cfRule type="cellIs" dxfId="12" priority="2" operator="notEqual">
      <formula>""</formula>
    </cfRule>
  </conditionalFormatting>
  <conditionalFormatting sqref="AA4:AA23">
    <cfRule type="cellIs" dxfId="11" priority="1" operator="notEqual">
      <formula>""</formula>
    </cfRule>
  </conditionalFormatting>
  <dataValidations count="1">
    <dataValidation type="list" allowBlank="1" showInputMessage="1" showErrorMessage="1" sqref="D4:D23 F4:F23 H4:H23 J4:J23 L4:L23 N4:N23 P4:P23 R4:R23 T4:T23 V4:V23 X4:X23 Z4:Z23" xr:uid="{00000000-0002-0000-0300-000000000000}">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149" t="s">
        <v>131</v>
      </c>
      <c r="B1" s="149"/>
    </row>
    <row r="2" spans="1:2" x14ac:dyDescent="0.25">
      <c r="A2" t="s">
        <v>134</v>
      </c>
      <c r="B2" s="92" t="s">
        <v>132</v>
      </c>
    </row>
    <row r="3" spans="1:2" x14ac:dyDescent="0.25">
      <c r="A3" t="s">
        <v>135</v>
      </c>
      <c r="B3" s="92" t="s">
        <v>133</v>
      </c>
    </row>
    <row r="4" spans="1:2" x14ac:dyDescent="0.25">
      <c r="A4" t="s">
        <v>136</v>
      </c>
      <c r="B4" s="92">
        <v>1</v>
      </c>
    </row>
    <row r="5" spans="1:2" x14ac:dyDescent="0.25">
      <c r="A5" t="s">
        <v>137</v>
      </c>
      <c r="B5" s="92">
        <v>1</v>
      </c>
    </row>
    <row r="6" spans="1:2" x14ac:dyDescent="0.25">
      <c r="A6" t="s">
        <v>138</v>
      </c>
      <c r="B6" s="92">
        <v>4</v>
      </c>
    </row>
    <row r="7" spans="1:2" x14ac:dyDescent="0.25">
      <c r="A7" t="s">
        <v>139</v>
      </c>
      <c r="B7" s="92">
        <v>5</v>
      </c>
    </row>
    <row r="8" spans="1:2" x14ac:dyDescent="0.25">
      <c r="A8" t="s">
        <v>140</v>
      </c>
      <c r="B8" s="92">
        <v>1</v>
      </c>
    </row>
    <row r="9" spans="1:2" x14ac:dyDescent="0.25">
      <c r="A9" t="s">
        <v>141</v>
      </c>
      <c r="B9" s="92">
        <v>1</v>
      </c>
    </row>
    <row r="10" spans="1:2" x14ac:dyDescent="0.25">
      <c r="A10" t="s">
        <v>142</v>
      </c>
      <c r="B10" s="92">
        <v>3</v>
      </c>
    </row>
    <row r="11" spans="1:2" x14ac:dyDescent="0.25">
      <c r="A11" t="s">
        <v>143</v>
      </c>
      <c r="B11" s="92">
        <v>4</v>
      </c>
    </row>
    <row r="12" spans="1:2" x14ac:dyDescent="0.25">
      <c r="A12" t="s">
        <v>144</v>
      </c>
      <c r="B12" s="92">
        <v>1</v>
      </c>
    </row>
    <row r="13" spans="1:2" x14ac:dyDescent="0.25">
      <c r="A13" t="s">
        <v>145</v>
      </c>
      <c r="B13" s="92">
        <v>1</v>
      </c>
    </row>
    <row r="14" spans="1:2" x14ac:dyDescent="0.25">
      <c r="A14" t="s">
        <v>146</v>
      </c>
      <c r="B14" s="92">
        <v>2</v>
      </c>
    </row>
    <row r="15" spans="1:2" x14ac:dyDescent="0.25">
      <c r="A15" t="s">
        <v>147</v>
      </c>
      <c r="B15" s="92">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E470-3E1A-492D-BC7B-9BE95EFA1017}">
  <dimension ref="A1:D26"/>
  <sheetViews>
    <sheetView topLeftCell="A16"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149"/>
      <c r="B1" s="149"/>
    </row>
    <row r="2" spans="1:4" x14ac:dyDescent="0.25">
      <c r="B2" s="92"/>
    </row>
    <row r="3" spans="1:4" ht="15.75" thickBot="1" x14ac:dyDescent="0.3">
      <c r="B3" s="92"/>
    </row>
    <row r="4" spans="1:4" ht="24.95" customHeight="1" thickBot="1" x14ac:dyDescent="0.3">
      <c r="B4" s="111" t="s">
        <v>117</v>
      </c>
      <c r="C4" s="112" t="s">
        <v>212</v>
      </c>
      <c r="D4" s="113" t="s">
        <v>213</v>
      </c>
    </row>
    <row r="5" spans="1:4" ht="24.95" customHeight="1" x14ac:dyDescent="0.25">
      <c r="B5" s="150" t="s">
        <v>214</v>
      </c>
      <c r="C5" s="153">
        <v>1</v>
      </c>
      <c r="D5" s="114" t="s">
        <v>223</v>
      </c>
    </row>
    <row r="6" spans="1:4" ht="24.95" customHeight="1" x14ac:dyDescent="0.25">
      <c r="B6" s="151"/>
      <c r="C6" s="154"/>
      <c r="D6" s="114" t="s">
        <v>224</v>
      </c>
    </row>
    <row r="7" spans="1:4" ht="24.95" customHeight="1" thickBot="1" x14ac:dyDescent="0.3">
      <c r="B7" s="152"/>
      <c r="C7" s="155"/>
      <c r="D7" s="115" t="s">
        <v>225</v>
      </c>
    </row>
    <row r="8" spans="1:4" ht="24.95" customHeight="1" x14ac:dyDescent="0.25">
      <c r="B8" s="150" t="s">
        <v>215</v>
      </c>
      <c r="C8" s="153">
        <v>2</v>
      </c>
      <c r="D8" s="114" t="s">
        <v>226</v>
      </c>
    </row>
    <row r="9" spans="1:4" ht="24.95" customHeight="1" x14ac:dyDescent="0.25">
      <c r="B9" s="151"/>
      <c r="C9" s="154"/>
      <c r="D9" s="114" t="s">
        <v>227</v>
      </c>
    </row>
    <row r="10" spans="1:4" ht="24.95" customHeight="1" thickBot="1" x14ac:dyDescent="0.3">
      <c r="B10" s="152"/>
      <c r="C10" s="155"/>
      <c r="D10" s="115" t="s">
        <v>228</v>
      </c>
    </row>
    <row r="11" spans="1:4" ht="24.95" customHeight="1" x14ac:dyDescent="0.25">
      <c r="B11" s="150" t="s">
        <v>216</v>
      </c>
      <c r="C11" s="153">
        <v>3</v>
      </c>
      <c r="D11" s="114" t="s">
        <v>217</v>
      </c>
    </row>
    <row r="12" spans="1:4" ht="24.95" customHeight="1" x14ac:dyDescent="0.25">
      <c r="B12" s="151"/>
      <c r="C12" s="154"/>
      <c r="D12" s="114" t="s">
        <v>229</v>
      </c>
    </row>
    <row r="13" spans="1:4" ht="24.95" customHeight="1" x14ac:dyDescent="0.25">
      <c r="B13" s="151"/>
      <c r="C13" s="154"/>
      <c r="D13" s="114" t="s">
        <v>230</v>
      </c>
    </row>
    <row r="14" spans="1:4" ht="24.95" customHeight="1" x14ac:dyDescent="0.25">
      <c r="B14" s="151"/>
      <c r="C14" s="154"/>
      <c r="D14" s="114" t="s">
        <v>231</v>
      </c>
    </row>
    <row r="15" spans="1:4" ht="24.95" customHeight="1" x14ac:dyDescent="0.25">
      <c r="B15" s="151"/>
      <c r="C15" s="154"/>
      <c r="D15" s="114" t="s">
        <v>232</v>
      </c>
    </row>
    <row r="16" spans="1:4" ht="24.95" customHeight="1" thickBot="1" x14ac:dyDescent="0.3">
      <c r="B16" s="152"/>
      <c r="C16" s="155"/>
      <c r="D16" s="115" t="s">
        <v>218</v>
      </c>
    </row>
    <row r="17" spans="2:4" ht="24.95" customHeight="1" x14ac:dyDescent="0.25">
      <c r="B17" s="150" t="s">
        <v>219</v>
      </c>
      <c r="C17" s="153">
        <v>4</v>
      </c>
      <c r="D17" s="114" t="s">
        <v>220</v>
      </c>
    </row>
    <row r="18" spans="2:4" ht="24.95" customHeight="1" x14ac:dyDescent="0.25">
      <c r="B18" s="151"/>
      <c r="C18" s="154"/>
      <c r="D18" s="114" t="s">
        <v>233</v>
      </c>
    </row>
    <row r="19" spans="2:4" ht="24.95" customHeight="1" x14ac:dyDescent="0.25">
      <c r="B19" s="151"/>
      <c r="C19" s="154"/>
      <c r="D19" s="114" t="s">
        <v>234</v>
      </c>
    </row>
    <row r="20" spans="2:4" ht="24.95" customHeight="1" x14ac:dyDescent="0.25">
      <c r="B20" s="151"/>
      <c r="C20" s="154"/>
      <c r="D20" s="114" t="s">
        <v>235</v>
      </c>
    </row>
    <row r="21" spans="2:4" ht="24.95" customHeight="1" thickBot="1" x14ac:dyDescent="0.3">
      <c r="B21" s="152"/>
      <c r="C21" s="155"/>
      <c r="D21" s="115" t="s">
        <v>236</v>
      </c>
    </row>
    <row r="22" spans="2:4" ht="24.95" customHeight="1" x14ac:dyDescent="0.25">
      <c r="B22" s="150" t="s">
        <v>221</v>
      </c>
      <c r="C22" s="153">
        <v>5</v>
      </c>
      <c r="D22" s="114" t="s">
        <v>222</v>
      </c>
    </row>
    <row r="23" spans="2:4" ht="24.95" customHeight="1" x14ac:dyDescent="0.25">
      <c r="B23" s="151"/>
      <c r="C23" s="154"/>
      <c r="D23" s="114" t="s">
        <v>237</v>
      </c>
    </row>
    <row r="24" spans="2:4" ht="24.95" customHeight="1" x14ac:dyDescent="0.25">
      <c r="B24" s="151"/>
      <c r="C24" s="154"/>
      <c r="D24" s="114" t="s">
        <v>238</v>
      </c>
    </row>
    <row r="25" spans="2:4" ht="24.95" customHeight="1" x14ac:dyDescent="0.25">
      <c r="B25" s="151"/>
      <c r="C25" s="154"/>
      <c r="D25" s="114" t="s">
        <v>239</v>
      </c>
    </row>
    <row r="26" spans="2:4" ht="24.95" customHeight="1" thickBot="1" x14ac:dyDescent="0.3">
      <c r="B26" s="152"/>
      <c r="C26" s="155"/>
      <c r="D26" s="115" t="s">
        <v>240</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113</v>
      </c>
      <c r="M1" s="47" t="s">
        <v>118</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104" t="s">
        <v>162</v>
      </c>
      <c r="J2" s="46"/>
      <c r="K2" s="49" t="s">
        <v>98</v>
      </c>
      <c r="L2" s="49" t="s">
        <v>103</v>
      </c>
      <c r="M2" s="49" t="s">
        <v>108</v>
      </c>
      <c r="N2" s="49" t="s">
        <v>44</v>
      </c>
      <c r="O2" s="49" t="s">
        <v>4</v>
      </c>
      <c r="P2" s="49" t="s">
        <v>44</v>
      </c>
      <c r="Q2" s="49" t="s">
        <v>2</v>
      </c>
      <c r="R2" s="49" t="s">
        <v>119</v>
      </c>
      <c r="S2" s="50">
        <v>1</v>
      </c>
      <c r="T2" s="49" t="s">
        <v>49</v>
      </c>
      <c r="U2" s="46"/>
      <c r="V2" s="46"/>
    </row>
    <row r="3" spans="1:22" ht="15.75" thickBot="1" x14ac:dyDescent="0.3">
      <c r="C3" s="17" t="s">
        <v>57</v>
      </c>
      <c r="E3" s="49" t="s">
        <v>10</v>
      </c>
      <c r="F3" s="49" t="s">
        <v>29</v>
      </c>
      <c r="G3" s="49" t="s">
        <v>33</v>
      </c>
      <c r="H3" s="49" t="s">
        <v>19</v>
      </c>
      <c r="I3" s="104" t="s">
        <v>163</v>
      </c>
      <c r="J3" s="46"/>
      <c r="K3" s="49" t="s">
        <v>99</v>
      </c>
      <c r="L3" s="49" t="s">
        <v>104</v>
      </c>
      <c r="M3" s="49" t="s">
        <v>109</v>
      </c>
      <c r="N3" s="49" t="s">
        <v>83</v>
      </c>
      <c r="O3" s="49" t="s">
        <v>6</v>
      </c>
      <c r="P3" s="49" t="s">
        <v>78</v>
      </c>
      <c r="Q3" s="49" t="s">
        <v>5</v>
      </c>
      <c r="R3" s="49" t="s">
        <v>120</v>
      </c>
      <c r="S3" s="50">
        <v>2</v>
      </c>
      <c r="T3" s="49" t="s">
        <v>50</v>
      </c>
      <c r="U3" s="46"/>
      <c r="V3" s="46"/>
    </row>
    <row r="4" spans="1:22" ht="19.5" thickBot="1" x14ac:dyDescent="0.3">
      <c r="C4" s="8">
        <v>5</v>
      </c>
      <c r="E4" s="49"/>
      <c r="F4" s="49" t="s">
        <v>30</v>
      </c>
      <c r="G4" s="49" t="s">
        <v>41</v>
      </c>
      <c r="H4" s="49" t="s">
        <v>1</v>
      </c>
      <c r="I4" s="105" t="s">
        <v>164</v>
      </c>
      <c r="J4" s="46"/>
      <c r="K4" s="49" t="s">
        <v>100</v>
      </c>
      <c r="L4" s="49" t="s">
        <v>105</v>
      </c>
      <c r="M4" s="49" t="s">
        <v>110</v>
      </c>
      <c r="N4" s="49" t="s">
        <v>82</v>
      </c>
      <c r="O4" s="49" t="s">
        <v>3</v>
      </c>
      <c r="P4" s="49" t="s">
        <v>77</v>
      </c>
      <c r="Q4" s="49" t="s">
        <v>3</v>
      </c>
      <c r="R4" s="49" t="s">
        <v>121</v>
      </c>
      <c r="S4" s="50">
        <v>3</v>
      </c>
      <c r="T4" s="49" t="s">
        <v>51</v>
      </c>
      <c r="U4" s="46"/>
      <c r="V4" s="46"/>
    </row>
    <row r="5" spans="1:22" ht="15.75" thickBot="1" x14ac:dyDescent="0.3">
      <c r="E5" s="49"/>
      <c r="F5" s="49" t="s">
        <v>31</v>
      </c>
      <c r="G5" s="49" t="s">
        <v>32</v>
      </c>
      <c r="H5" s="49" t="s">
        <v>22</v>
      </c>
      <c r="I5" s="106" t="s">
        <v>165</v>
      </c>
      <c r="J5" s="46"/>
      <c r="K5" s="49" t="s">
        <v>101</v>
      </c>
      <c r="L5" s="49" t="s">
        <v>106</v>
      </c>
      <c r="M5" s="49" t="s">
        <v>111</v>
      </c>
      <c r="N5" s="49" t="s">
        <v>81</v>
      </c>
      <c r="O5" s="49" t="s">
        <v>5</v>
      </c>
      <c r="P5" s="49" t="s">
        <v>76</v>
      </c>
      <c r="Q5" s="49" t="s">
        <v>6</v>
      </c>
      <c r="R5" s="49" t="s">
        <v>122</v>
      </c>
      <c r="S5" s="50">
        <v>4</v>
      </c>
      <c r="T5" s="49" t="s">
        <v>52</v>
      </c>
      <c r="U5" s="46"/>
      <c r="V5" s="46"/>
    </row>
    <row r="6" spans="1:22" ht="15.75" thickBot="1" x14ac:dyDescent="0.3">
      <c r="E6" s="49"/>
      <c r="F6" s="49"/>
      <c r="G6" s="49" t="s">
        <v>34</v>
      </c>
      <c r="H6" s="49"/>
      <c r="I6" s="106" t="s">
        <v>166</v>
      </c>
      <c r="J6" s="46"/>
      <c r="K6" s="49" t="s">
        <v>102</v>
      </c>
      <c r="L6" s="49" t="s">
        <v>107</v>
      </c>
      <c r="M6" s="49" t="s">
        <v>112</v>
      </c>
      <c r="N6" s="49" t="s">
        <v>84</v>
      </c>
      <c r="O6" s="49" t="s">
        <v>2</v>
      </c>
      <c r="P6" s="49" t="s">
        <v>75</v>
      </c>
      <c r="Q6" s="49" t="s">
        <v>46</v>
      </c>
      <c r="R6" s="49" t="s">
        <v>123</v>
      </c>
      <c r="S6" s="50">
        <v>5</v>
      </c>
      <c r="T6" s="49" t="s">
        <v>53</v>
      </c>
      <c r="U6" s="46"/>
      <c r="V6" s="46"/>
    </row>
    <row r="7" spans="1:22" ht="15.75" thickBot="1" x14ac:dyDescent="0.3">
      <c r="E7" s="49"/>
      <c r="F7" s="49"/>
      <c r="G7" s="49" t="s">
        <v>42</v>
      </c>
      <c r="H7" s="49"/>
      <c r="I7" s="106" t="s">
        <v>167</v>
      </c>
      <c r="J7" s="46"/>
      <c r="K7" s="46"/>
      <c r="L7" s="51"/>
      <c r="M7" s="46"/>
      <c r="N7" s="46"/>
      <c r="O7" s="46"/>
      <c r="P7" s="46"/>
      <c r="Q7" s="46"/>
      <c r="R7" s="46"/>
      <c r="S7" s="46"/>
      <c r="T7" s="46"/>
      <c r="U7" s="46"/>
      <c r="V7" s="46"/>
    </row>
    <row r="8" spans="1:22" ht="15.75" thickBot="1" x14ac:dyDescent="0.3">
      <c r="E8" s="49"/>
      <c r="F8" s="49"/>
      <c r="G8" s="49" t="s">
        <v>37</v>
      </c>
      <c r="H8" s="49"/>
      <c r="I8" s="106" t="s">
        <v>168</v>
      </c>
      <c r="J8" s="46"/>
      <c r="K8" s="46"/>
      <c r="L8" s="51"/>
      <c r="M8" s="46"/>
      <c r="N8" s="46"/>
      <c r="O8" s="46"/>
      <c r="P8" s="46"/>
      <c r="Q8" s="46"/>
      <c r="R8" s="46"/>
      <c r="S8" s="46"/>
      <c r="T8" s="46"/>
      <c r="U8" s="46"/>
      <c r="V8" s="46"/>
    </row>
    <row r="9" spans="1:22" ht="15.75" thickBot="1" x14ac:dyDescent="0.3">
      <c r="A9" s="1" t="s">
        <v>66</v>
      </c>
      <c r="E9" s="49"/>
      <c r="F9" s="49"/>
      <c r="G9" s="49" t="s">
        <v>38</v>
      </c>
      <c r="H9" s="49"/>
      <c r="I9" s="106" t="s">
        <v>169</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106" t="s">
        <v>170</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106" t="s">
        <v>171</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106" t="s">
        <v>172</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106" t="s">
        <v>173</v>
      </c>
      <c r="J13" s="51"/>
      <c r="K13" s="51"/>
      <c r="L13" s="51"/>
      <c r="M13" s="51"/>
      <c r="N13" s="74"/>
      <c r="O13" s="74"/>
      <c r="P13" s="74"/>
      <c r="Q13" s="74"/>
      <c r="R13" s="74"/>
      <c r="S13" s="46"/>
      <c r="T13" s="46"/>
      <c r="U13" s="46"/>
      <c r="V13" s="46"/>
    </row>
    <row r="14" spans="1:22" ht="15.75" thickBot="1" x14ac:dyDescent="0.3">
      <c r="A14" s="18" t="str">
        <f>T3</f>
        <v>Oportunidad abandonada</v>
      </c>
      <c r="C14" s="19" t="e">
        <f>COUNTIF(#REF!,Listas!A14)</f>
        <v>#REF!</v>
      </c>
      <c r="E14" s="52"/>
      <c r="F14" s="52"/>
      <c r="G14" s="52"/>
      <c r="H14" s="52"/>
      <c r="I14" s="106" t="s">
        <v>174</v>
      </c>
      <c r="J14" s="52"/>
      <c r="K14" s="52"/>
      <c r="L14" s="52"/>
      <c r="M14" s="52"/>
      <c r="N14" s="75"/>
      <c r="O14" s="75"/>
      <c r="P14" s="75"/>
      <c r="Q14" s="75"/>
      <c r="R14" s="75"/>
      <c r="S14" s="46"/>
      <c r="T14" s="46"/>
      <c r="U14" s="46"/>
      <c r="V14" s="46"/>
    </row>
    <row r="15" spans="1:22" ht="15.75" thickBot="1" x14ac:dyDescent="0.3">
      <c r="A15" s="18" t="str">
        <f>T4</f>
        <v>Se trataron algunas expectativas</v>
      </c>
      <c r="C15" s="19" t="e">
        <f>COUNTIF(#REF!,Listas!A15)</f>
        <v>#REF!</v>
      </c>
      <c r="E15" s="10"/>
      <c r="F15" s="10"/>
      <c r="G15" s="10"/>
      <c r="H15" s="10"/>
      <c r="I15" s="106" t="s">
        <v>175</v>
      </c>
      <c r="J15" s="10"/>
      <c r="K15" s="10"/>
      <c r="L15" s="10"/>
      <c r="M15" s="10"/>
      <c r="N15" s="76"/>
      <c r="O15" s="76"/>
      <c r="P15" s="76"/>
      <c r="Q15" s="76"/>
      <c r="R15" s="76"/>
      <c r="V15" s="12" t="s">
        <v>62</v>
      </c>
    </row>
    <row r="16" spans="1:22" ht="30.75" thickBot="1" x14ac:dyDescent="0.3">
      <c r="A16" s="18" t="str">
        <f>T5</f>
        <v>Se trataron todas las expectativas</v>
      </c>
      <c r="C16" s="19" t="e">
        <f>COUNTIF(#REF!,Listas!A16)</f>
        <v>#REF!</v>
      </c>
      <c r="E16" s="10"/>
      <c r="F16" s="10"/>
      <c r="G16" s="10"/>
      <c r="H16" s="10"/>
      <c r="I16" s="106" t="s">
        <v>176</v>
      </c>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106" t="s">
        <v>177</v>
      </c>
      <c r="J17" s="11"/>
      <c r="K17" s="11"/>
      <c r="L17" s="11"/>
      <c r="M17" s="11"/>
      <c r="N17" s="11"/>
      <c r="O17" s="11"/>
      <c r="P17" s="11"/>
      <c r="Q17" s="11"/>
      <c r="R17" s="11"/>
      <c r="V17" s="12"/>
    </row>
    <row r="18" spans="1:22" ht="15.75" thickBot="1" x14ac:dyDescent="0.3">
      <c r="E18" s="10"/>
      <c r="F18" s="10"/>
      <c r="G18" s="10"/>
      <c r="H18" s="10"/>
      <c r="I18" s="106" t="s">
        <v>178</v>
      </c>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106" t="s">
        <v>179</v>
      </c>
      <c r="J19" s="11"/>
      <c r="K19" s="11"/>
      <c r="L19" s="11"/>
      <c r="M19" s="11"/>
      <c r="N19" s="11"/>
      <c r="O19" s="11"/>
      <c r="P19" s="11"/>
      <c r="Q19" s="11"/>
      <c r="R19" s="11"/>
      <c r="V19" s="12"/>
    </row>
    <row r="20" spans="1:22" ht="15.75" thickBot="1" x14ac:dyDescent="0.3">
      <c r="A20" s="1" t="s">
        <v>67</v>
      </c>
      <c r="E20" s="10"/>
      <c r="F20" s="10"/>
      <c r="G20" s="10"/>
      <c r="H20" s="10"/>
      <c r="I20" s="106" t="s">
        <v>180</v>
      </c>
      <c r="J20" s="11"/>
      <c r="K20" s="11"/>
      <c r="L20" s="11"/>
      <c r="M20" s="11"/>
      <c r="N20" s="11"/>
      <c r="O20" s="11"/>
      <c r="P20" s="11"/>
      <c r="Q20" s="11"/>
      <c r="R20" s="11"/>
      <c r="V20" s="12"/>
    </row>
    <row r="21" spans="1:22" ht="30.75" thickBot="1" x14ac:dyDescent="0.3">
      <c r="A21" s="18" t="s">
        <v>71</v>
      </c>
      <c r="C21" s="19">
        <f>COUNTA(Riesgos!C5:C111)</f>
        <v>18</v>
      </c>
      <c r="E21" s="10"/>
      <c r="F21" s="10"/>
      <c r="G21" s="10"/>
      <c r="H21" s="10"/>
      <c r="I21" s="106" t="s">
        <v>181</v>
      </c>
      <c r="J21" s="11"/>
      <c r="K21" s="11"/>
      <c r="L21" s="11"/>
      <c r="M21" s="11"/>
      <c r="N21" s="11"/>
      <c r="O21" s="11"/>
      <c r="P21" s="11"/>
      <c r="Q21" s="11"/>
      <c r="R21" s="11"/>
      <c r="V21" s="13" t="s">
        <v>64</v>
      </c>
    </row>
    <row r="22" spans="1:22" ht="30.75" thickBot="1" x14ac:dyDescent="0.3">
      <c r="A22" s="18" t="s">
        <v>72</v>
      </c>
      <c r="C22" s="19">
        <f>COUNTIF(Riesgos!I5:I111,"&gt;="&amp;Listas!C2)</f>
        <v>13</v>
      </c>
      <c r="I22" s="106" t="s">
        <v>182</v>
      </c>
      <c r="V22" s="13" t="s">
        <v>65</v>
      </c>
    </row>
    <row r="23" spans="1:22" ht="15.75" thickBot="1" x14ac:dyDescent="0.3">
      <c r="A23" s="18" t="s">
        <v>73</v>
      </c>
      <c r="C23" s="19">
        <f>C21-C22-C24</f>
        <v>1</v>
      </c>
      <c r="I23" s="106" t="s">
        <v>183</v>
      </c>
      <c r="V23" s="12"/>
    </row>
    <row r="24" spans="1:22" ht="15.75" thickBot="1" x14ac:dyDescent="0.3">
      <c r="A24" s="18" t="s">
        <v>74</v>
      </c>
      <c r="C24" s="19">
        <f>COUNTIF(Riesgos!I5:I111,"&lt;"&amp;Listas!C4)</f>
        <v>4</v>
      </c>
      <c r="I24" s="106" t="s">
        <v>184</v>
      </c>
      <c r="V24" s="12" t="str">
        <f>CONCATENATE(V21,A2,V22)</f>
        <v>Plan de persecución de oportunidades 
(sugerida para factor de oportunidades &gt;=8) 
Puede referenciar a documentos de planificación externa</v>
      </c>
    </row>
    <row r="25" spans="1:22" ht="15.75" thickBot="1" x14ac:dyDescent="0.3">
      <c r="I25" s="106" t="s">
        <v>185</v>
      </c>
      <c r="V25" s="12"/>
    </row>
    <row r="26" spans="1:22" ht="15.75" thickBot="1" x14ac:dyDescent="0.3">
      <c r="I26" s="106" t="s">
        <v>186</v>
      </c>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Claudia Diaz_Muvdi</cp:lastModifiedBy>
  <cp:lastPrinted>2019-05-06T14:59:02Z</cp:lastPrinted>
  <dcterms:created xsi:type="dcterms:W3CDTF">2015-08-31T12:23:57Z</dcterms:created>
  <dcterms:modified xsi:type="dcterms:W3CDTF">2019-05-30T21:10:03Z</dcterms:modified>
  <cp:category>ISO 9001:2015;Procedimientos</cp:category>
</cp:coreProperties>
</file>