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autoCompressPictures="0"/>
  <mc:AlternateContent xmlns:mc="http://schemas.openxmlformats.org/markup-compatibility/2006">
    <mc:Choice Requires="x15">
      <x15ac:absPath xmlns:x15ac="http://schemas.microsoft.com/office/spreadsheetml/2010/11/ac" url="D:\Users\ka24r\Desktop\OFICINA KARY\PAGINA WEB\"/>
    </mc:Choice>
  </mc:AlternateContent>
  <xr:revisionPtr revIDLastSave="0" documentId="8_{950392B5-E3A0-4759-A5AA-32648D70B57A}" xr6:coauthVersionLast="45" xr6:coauthVersionMax="45"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sheetId="4" r:id="rId3"/>
    <sheet name="Calificacion Controles" sheetId="10" r:id="rId4"/>
    <sheet name="CriteriosControles" sheetId="11" r:id="rId5"/>
    <sheet name="CriteriosImpacto" sheetId="14" r:id="rId6"/>
    <sheet name="Listas" sheetId="8" state="hidden" r:id="rId7"/>
  </sheets>
  <externalReferences>
    <externalReference r:id="rId8"/>
  </externalReferences>
  <definedNames>
    <definedName name="_xlnm._FilterDatabase" localSheetId="1" hidden="1">Cuestiones!$A$2:$H$101</definedName>
    <definedName name="_xlnm._FilterDatabase" localSheetId="2" hidden="1">Riesgos!$A$4:$S$24</definedName>
    <definedName name="_xlnm.Print_Area" localSheetId="2">Riesgos!$A$1:$S$21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 localSheetId="5">Listas!#REF!</definedName>
    <definedName name="correction">Listas!#REF!</definedName>
    <definedName name="cost" localSheetId="3">'Calificacion Controles'!$Q$4:$Q$8</definedName>
    <definedName name="cost" localSheetId="5">Listas!#REF!</definedName>
    <definedName name="cost">Listas!#REF!</definedName>
    <definedName name="CriterioControl" localSheetId="5">CriteriosImpacto!$A$2:$A$15</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 localSheetId="5">Listas!#REF!</definedName>
    <definedName name="riskrep">Listas!#REF!</definedName>
    <definedName name="score" localSheetId="3">'Calificacion Controles'!#REF!</definedName>
    <definedName name="score" localSheetId="5">Listas!#REF!</definedName>
    <definedName name="score">Listas!#REF!</definedName>
    <definedName name="Success" localSheetId="3">'Calificacion Controles'!$T$4:$T$8</definedName>
    <definedName name="Success">Listas!$T$2:$T$6</definedName>
    <definedName name="_xlnm.Print_Titles" localSheetId="2">Riesgos!$A:$B</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 localSheetId="5">Listas!#REF!</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4" l="1"/>
  <c r="I17" i="4" l="1"/>
  <c r="B16" i="10" s="1"/>
  <c r="I6" i="4"/>
  <c r="B5" i="10" s="1"/>
  <c r="I7" i="4"/>
  <c r="B6" i="10" s="1"/>
  <c r="I8" i="4"/>
  <c r="B7" i="10" s="1"/>
  <c r="I9" i="4"/>
  <c r="B8" i="10" s="1"/>
  <c r="B10" i="10"/>
  <c r="I12" i="4"/>
  <c r="B11" i="10" s="1"/>
  <c r="I16" i="4"/>
  <c r="B15" i="10" s="1"/>
  <c r="I18" i="4"/>
  <c r="B17" i="10" s="1"/>
  <c r="I19" i="4"/>
  <c r="B18" i="10" s="1"/>
  <c r="I20" i="4"/>
  <c r="B19" i="10" s="1"/>
  <c r="I21" i="4"/>
  <c r="B20" i="10" s="1"/>
  <c r="I15" i="4"/>
  <c r="B14" i="10" s="1"/>
  <c r="I14" i="4"/>
  <c r="B13" i="10" s="1"/>
  <c r="I13" i="4"/>
  <c r="AA23" i="10"/>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I13" i="10"/>
  <c r="I12" i="10"/>
  <c r="I11" i="10"/>
  <c r="I10" i="10"/>
  <c r="I9" i="10"/>
  <c r="I8" i="10"/>
  <c r="I7" i="10"/>
  <c r="I6" i="10"/>
  <c r="I5" i="10"/>
  <c r="I4" i="10"/>
  <c r="G23" i="10"/>
  <c r="G22" i="10"/>
  <c r="G21" i="10"/>
  <c r="G20" i="10"/>
  <c r="G19" i="10"/>
  <c r="G18" i="10"/>
  <c r="G17" i="10"/>
  <c r="G16" i="10"/>
  <c r="G15" i="10"/>
  <c r="G14" i="10"/>
  <c r="G13" i="10"/>
  <c r="G12" i="10"/>
  <c r="G11" i="10"/>
  <c r="G10" i="10"/>
  <c r="G9" i="10"/>
  <c r="G8" i="10"/>
  <c r="G7" i="10"/>
  <c r="G6" i="10"/>
  <c r="G5" i="10"/>
  <c r="G4" i="10"/>
  <c r="E5" i="10"/>
  <c r="E6" i="10"/>
  <c r="E7" i="10"/>
  <c r="E8" i="10"/>
  <c r="AB8" i="10" s="1"/>
  <c r="AC8" i="10" s="1"/>
  <c r="E9" i="10"/>
  <c r="AB9" i="10" s="1"/>
  <c r="AC9" i="10" s="1"/>
  <c r="E10" i="10"/>
  <c r="E11" i="10"/>
  <c r="E12" i="10"/>
  <c r="E13" i="10"/>
  <c r="E14" i="10"/>
  <c r="E15" i="10"/>
  <c r="E16" i="10"/>
  <c r="E17" i="10"/>
  <c r="AB17" i="10" s="1"/>
  <c r="AC17" i="10" s="1"/>
  <c r="E18" i="10"/>
  <c r="AB18" i="10" s="1"/>
  <c r="AC18" i="10" s="1"/>
  <c r="E19" i="10"/>
  <c r="E20" i="10"/>
  <c r="E21" i="10"/>
  <c r="AB21" i="10" s="1"/>
  <c r="AC21" i="10" s="1"/>
  <c r="E22" i="10"/>
  <c r="AB22" i="10" s="1"/>
  <c r="AC22" i="10" s="1"/>
  <c r="E23" i="10"/>
  <c r="AB23" i="10"/>
  <c r="AC23" i="10"/>
  <c r="E4" i="10"/>
  <c r="AB4" i="10" s="1"/>
  <c r="AC4" i="10" s="1"/>
  <c r="A23" i="10"/>
  <c r="A22" i="10"/>
  <c r="B23" i="10"/>
  <c r="AD23" i="10" s="1"/>
  <c r="B22" i="10"/>
  <c r="B21" i="10"/>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A6" i="4"/>
  <c r="A7" i="4" s="1"/>
  <c r="A8" i="4" s="1"/>
  <c r="A10" i="4"/>
  <c r="A11" i="4" s="1"/>
  <c r="A12" i="4" s="1"/>
  <c r="A13" i="4" s="1"/>
  <c r="A14" i="4" s="1"/>
  <c r="A15" i="4" s="1"/>
  <c r="A16" i="4" s="1"/>
  <c r="A17" i="4" s="1"/>
  <c r="A18" i="4" s="1"/>
  <c r="A19" i="4" s="1"/>
  <c r="A20" i="4" s="1"/>
  <c r="A21" i="4" s="1"/>
  <c r="C11" i="8"/>
  <c r="C10" i="8"/>
  <c r="V18" i="8"/>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8" i="4"/>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I36" i="4"/>
  <c r="I34" i="4"/>
  <c r="I39" i="4"/>
  <c r="I31" i="4"/>
  <c r="I38" i="4"/>
  <c r="I30" i="4"/>
  <c r="I37" i="4"/>
  <c r="I29" i="4"/>
  <c r="I35" i="4"/>
  <c r="I33" i="4"/>
  <c r="I32" i="4"/>
  <c r="I47" i="4"/>
  <c r="I46" i="4"/>
  <c r="I45" i="4"/>
  <c r="I44" i="4"/>
  <c r="I43" i="4"/>
  <c r="I42" i="4"/>
  <c r="I41" i="4"/>
  <c r="I40" i="4"/>
  <c r="J4" i="4"/>
  <c r="B9" i="10"/>
  <c r="B4" i="10"/>
  <c r="AB12" i="10"/>
  <c r="AC12" i="10" s="1"/>
  <c r="AB20" i="10"/>
  <c r="AC20" i="10"/>
  <c r="AB13" i="10"/>
  <c r="AC13" i="10" s="1"/>
  <c r="AB11" i="10" l="1"/>
  <c r="AC11" i="10" s="1"/>
  <c r="AB14" i="10"/>
  <c r="AC14" i="10" s="1"/>
  <c r="AD14" i="10" s="1"/>
  <c r="AD20" i="10"/>
  <c r="K21" i="4" s="1"/>
  <c r="AD17" i="10"/>
  <c r="AD11" i="10"/>
  <c r="AD8" i="10"/>
  <c r="AD21" i="10"/>
  <c r="AD13" i="10"/>
  <c r="AD4" i="10"/>
  <c r="AD22" i="10"/>
  <c r="AB10" i="10"/>
  <c r="AC10" i="10" s="1"/>
  <c r="AD10" i="10" s="1"/>
  <c r="K11" i="4" s="1"/>
  <c r="AD9" i="10"/>
  <c r="AD18" i="10"/>
  <c r="AB15" i="10"/>
  <c r="AC15" i="10" s="1"/>
  <c r="AD15" i="10" s="1"/>
  <c r="AB16" i="10"/>
  <c r="AC16" i="10" s="1"/>
  <c r="AD16" i="10" s="1"/>
  <c r="AB6" i="10"/>
  <c r="AC6" i="10" s="1"/>
  <c r="AD6" i="10" s="1"/>
  <c r="K7" i="4" s="1"/>
  <c r="AB5" i="10"/>
  <c r="AC5" i="10" s="1"/>
  <c r="AD5" i="10" s="1"/>
  <c r="C24" i="8"/>
  <c r="AB7" i="10"/>
  <c r="AC7" i="10" s="1"/>
  <c r="AD7" i="10" s="1"/>
  <c r="C22" i="8"/>
  <c r="B12" i="10"/>
  <c r="AD12" i="10" s="1"/>
  <c r="K13" i="4" s="1"/>
  <c r="AB19" i="10"/>
  <c r="AC19" i="10" s="1"/>
  <c r="AD19" i="10" s="1"/>
  <c r="C23" i="8" l="1"/>
</calcChain>
</file>

<file path=xl/sharedStrings.xml><?xml version="1.0" encoding="utf-8"?>
<sst xmlns="http://schemas.openxmlformats.org/spreadsheetml/2006/main" count="779" uniqueCount="316">
  <si>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</si>
  <si>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</si>
  <si>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</si>
  <si>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</si>
  <si>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</si>
  <si>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</si>
  <si>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</si>
  <si>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</si>
  <si>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</si>
  <si>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</si>
  <si>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</si>
  <si>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</si>
  <si>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</si>
  <si>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</si>
  <si>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</si>
  <si>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</si>
  <si>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</si>
  <si>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</si>
  <si>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</si>
  <si>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</si>
  <si>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</si>
  <si>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</si>
  <si>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</si>
  <si>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</si>
  <si>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</si>
  <si>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</si>
  <si>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</si>
  <si>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</si>
  <si>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</si>
  <si>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</si>
  <si>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</si>
  <si>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</si>
  <si>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</si>
  <si>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</si>
  <si>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</si>
  <si>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</si>
  <si>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</si>
  <si>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</si>
  <si>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</si>
  <si>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</si>
  <si>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</si>
  <si>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</si>
  <si>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</si>
  <si>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</si>
  <si>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</si>
  <si>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</si>
  <si>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</si>
  <si>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</si>
  <si>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</si>
  <si>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</si>
  <si>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</si>
  <si>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</si>
  <si>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</si>
  <si>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</si>
  <si>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</si>
  <si>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</si>
  <si>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</si>
  <si>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</si>
  <si>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</si>
  <si>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</si>
  <si>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</si>
  <si>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</si>
  <si>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</si>
  <si>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</si>
  <si>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</si>
  <si>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</si>
  <si>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</si>
  <si>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</si>
  <si>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</si>
  <si>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</si>
  <si>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</si>
  <si>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</si>
  <si>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</si>
  <si>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</si>
  <si>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</si>
  <si>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</si>
  <si>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</si>
  <si>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</si>
  <si>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</si>
  <si>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</si>
  <si>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</si>
  <si>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</si>
  <si>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</si>
  <si>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</si>
  <si>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</si>
  <si>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</si>
  <si>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</si>
  <si>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</si>
  <si>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</si>
  <si>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</si>
  <si>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</si>
  <si>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</si>
  <si>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</si>
  <si>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</si>
  <si>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</si>
  <si>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</si>
  <si>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</si>
  <si>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</si>
  <si>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</si>
  <si>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</si>
  <si>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</si>
  <si>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</si>
  <si>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</si>
  <si>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</si>
  <si>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</si>
  <si>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</si>
  <si>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</si>
  <si>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</si>
  <si>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</si>
  <si>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</si>
  <si>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</si>
  <si>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</si>
  <si>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</si>
  <si>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</si>
  <si>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</si>
  <si>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</si>
  <si>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</si>
  <si>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</si>
  <si>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</si>
  <si>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</si>
  <si>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</si>
  <si>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</si>
  <si>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</si>
  <si>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</si>
  <si>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</si>
  <si>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Seguimiento I</t>
  </si>
  <si>
    <t>Seguimiento II</t>
  </si>
  <si>
    <t>Seguimiento III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</si>
  <si>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</si>
  <si>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</si>
  <si>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</si>
  <si>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</si>
  <si>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</si>
  <si>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</si>
  <si>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</si>
  <si>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</si>
  <si>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</si>
  <si>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</si>
  <si>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</si>
  <si>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</si>
  <si>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</si>
  <si>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</si>
  <si>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</si>
  <si>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</si>
  <si>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</si>
  <si>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</si>
  <si>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</si>
  <si>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</si>
  <si>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</si>
  <si>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</si>
  <si>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</si>
  <si>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</si>
  <si>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</si>
  <si>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</si>
  <si>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</si>
  <si>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</si>
  <si>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</si>
  <si>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</si>
  <si>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</si>
  <si>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</si>
  <si>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</si>
  <si>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</si>
  <si>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</si>
  <si>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</si>
  <si>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</si>
  <si>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</si>
  <si>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</si>
  <si>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</si>
  <si>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</si>
  <si>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</si>
  <si>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</si>
  <si>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</si>
  <si>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</si>
  <si>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</si>
  <si>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</si>
  <si>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</si>
  <si>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</si>
  <si>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</si>
  <si>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</si>
  <si>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</si>
  <si>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</si>
  <si>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</si>
  <si>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</si>
  <si>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</si>
  <si>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</si>
  <si>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</si>
  <si>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</si>
  <si>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Modificar los perfiles de los cargos para admitir a un personal específico</t>
  </si>
  <si>
    <t>Permitir intencionalente la prescripción de los recaudos de la entidad</t>
  </si>
  <si>
    <t>Dilatación de los procesos de investigación y sanción para beneficios particulares</t>
  </si>
  <si>
    <t>Recibir beneficios económicos para agilizar o priorizar un trámite o servicio</t>
  </si>
  <si>
    <t>Direccionar los pliegos de condiciones de los contratos para favorecer a un proponente en particular</t>
  </si>
  <si>
    <t>Se ha producido al menos de una vez en los últimos 5 años.</t>
  </si>
  <si>
    <t>Manejar los recursos financieros y/o administración de la información de la entidad en beneficio propio o de terceros.</t>
  </si>
  <si>
    <t>Modificar los documentos de las hojas de vida del personal de planta o extrabajadores para reconocimiento de bonos pensionales</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</si>
  <si>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</si>
  <si>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</si>
  <si>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</si>
  <si>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</si>
  <si>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</si>
  <si>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</si>
  <si>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</si>
  <si>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</si>
  <si>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</si>
  <si>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</si>
  <si>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</si>
  <si>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</si>
  <si>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</si>
  <si>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</si>
  <si>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</si>
  <si>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</si>
  <si>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</si>
  <si>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</si>
  <si>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</si>
  <si>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</si>
  <si>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</si>
  <si>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</si>
  <si>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</si>
  <si>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</si>
  <si>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</si>
  <si>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</si>
  <si>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</si>
  <si>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</si>
  <si>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</si>
  <si>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Revision de perfiles:
1. El profesional especializado 222-08 de la Secretaría Distrital de Gestión Humana, debe verificar con los documentos aportados por el candidato (HV), que cumpla con el perfil exigido en el manual de funciones y competencias laborales cada vez que se requiera proveer un cargo.
2. El profesional especializado 222-07 de la Secretaría Distrital de Gestión Humana, debe verificar que el candidato cumpla con los documentos y/o requisitos minimos exigidos cada vez que se requiera dar posesión a un cargo, verificación que deberá registrarse en el formato MAGHPPEF-08 y adjuntarse en la historia laboral.</t>
  </si>
  <si>
    <t xml:space="preserve">Correcta administración de las hojas de vida
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cronologico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especializado 222 - 7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universitario 219-04. </t>
  </si>
  <si>
    <t>1. Implementación plan de gestión ética: La Promotora ética de la Secretaría de Distrital de Hacienda implementará el Plan de Gestión Etica para la toma de conciencia sobre los valores eticos institucionales a través del desarrollo de estrategias pedagógicas - comunicativas consignadas en el cronograma previsto y  se evidenciara su ejecución mediante listados de asistencia a cada una de las actividades realizadas
2. Procedimientos actualizados: Los agentes de cambio de la Secretaria de Hacienda revizaran trismestralmente la necesidad de ajustes en los procedimientos de sus áreas originados por cambios normativos y/o acciones de mejora que puedan afectar el cumplimiento de los objetvos del  sistema de gestión de calidad así como los recursos financieros y/o de información.
3. Seguimiento a las PQRS: El tecnico operativo adscrito al despacho socializará mensualmente por correo electrónico los informes de PQRS enviados por la Oficina de Gestión Documental, evidenciando por funcionario los PQRS proximos a vencer o sin respuesta vencidos, adicionalmente le reportará mensualmente al Secretario de Hacienda en un cuadro de excel el estado de los PQRS por funcionario.</t>
  </si>
  <si>
    <t>El profesional universitario grado 2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Auditoría de Respuestas a las PQRS en el cual se verifica tiempo de entrega y   contenido de respuestas el cual se evidencia con el informe de auditoría con el fin de garantizar que las respuestas a los peticionarios se están entregando en los tiempos establecidos y respondidas de fondo y claridad.
El profesional Universitario grado 2 de la oficina de gestión estratégica y fortalecimiento institucional – Atención al ciudadano, semanalmente y de acuerdo a las fechas importantes de la secretaría se envía a través de correo electrónico listado de funcionarios que tienen requerimientos vencidos y por vencer en el sistema de atención al ciudadano -SAC. Con el fin de tener las alertas que las PQRS sean respondidas en los tiempos establecidos por la ley.</t>
  </si>
  <si>
    <t>1. El jefe de oficina de la Oficina de Gestión del Riesgo, periodicamente o de acuerdo con la necesidad, realizará la rotación de funciones a los funcionarios adscritos a su oficina, con el fin de garantizar una optima prestación de los trámites/servicios prestados en la oficina, lo cual se evidenciará en la evaluación del desempeño.
2.El profesional universitario grado 1 de la oficina de Gestión de Riesgo, asignado como gestor ético mensualmente deberá realizar las actividades plasmadas en el plan ético de la vigencia con el propósito de fortalecer la gestión etica de cada funcionario.
2. El técnico operativo grado 1 de la oficina de Gestión de Riesgo, deberá realizar mensualmente un análisis y seguimiento del estado de PQRs por funcionario para implementar acciones de mejora en el cumpliento de los tiempos de respuesta, asi mismo debera generar el informe derivado de dicha gestión.</t>
  </si>
  <si>
    <t xml:space="preserve">1. Pluralidad de proveedores: El encargado de la contratación en la Secretaría General, se encargará de realizar cada vez que exista una necesidad de contratación, la divulgación de la convocatoria para fortalecer el registro de proveedores y por ende se cuente con un mejor estudio de mercado, lo que quedará evidenciado en el SECOP y en los registros del proceso de contratación. </t>
  </si>
  <si>
    <t>1. El profesional universitario (por definir cargo)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(por definir cargo) de la secretaria de gestión social, realizará el seguimiento mensual de los trámites inscritos en el SUIT con el fin de mantener actualizada los datos de operación trimestralmente.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técnico operativo (por definir cargo) realizará seguimiento mensual a la conformidad en las respuestas de las PQRSD (De fondo, clara, congruente y oportuna), lo que se evidenciará por medio de informes mensuales.</t>
  </si>
  <si>
    <t xml:space="preserve">1. Técnico operativo 314-01 de la Secretaría Distrital de Gobierno Implementará trimestralmente planes de mejoramiento para el fortalecimiento de la gestión ética en cada proceso.   Esto se evidenciará a través de correos electronicos, mensajes por medios electronicos, reuniones, listados de asistencia y fotos donde se recuerde la importancia de la etica en cada uno de los procesos realizados.
2. El Profesional Universitario 219-01 de la secretaría Distrital de Gobierno realizará capacitaciones a los funcionarios que ingresan por primera vez  a la secretaría sobre sus derechos, deberes, compatibilidades e incomptabilidades en el desarrollo de sus funciones. 
 3. El Técnico Operativo 314-01 Realizará mensualmente análisis de vencimiento de términos a PQRS e implementar acciones tendientes a eliminar las causas de los incumplimiento, esto se evidenciará a través de correos electronicos, reuniones trimestrales, con la finalidad de garantizar que las respuestas a los peticionarios se están entregando en los tiempos establecidos y coherente con dicha solicitud.  </t>
  </si>
  <si>
    <t xml:space="preserve">1. El jefe de la oficina de Garantía de la calidad realizará rotación con una periódicidad mensual a los grupos asignados a actividades de verificación de condiciones de habilitación e IVC con el fin de reducir el riesgo asociado de la recepcion de beneficios economicos por la realizacion de las funciones de cada uno de los grupos, la rotación evita que los funcionarios realizen compromisos respecto a agilizar o priorizar dichos procesos. 
2. Una vez culminadas las auditorías, el profesional especializado de la oficina de Garantía de la Calidad realizará retroalimentación con los prestadores de servicios de salud para conocer la percepción sobre de las actividades realizadas por los funcionarios. Este procedimento se realizará mediante entrevista aleatoria y análisis de los informes de visitas realizados, donde se establecerán tiempos definidos para la realización de los mismos, evitando la priorización no normativa de algún tramite o servicio.
3. El jefe de la oficina de Garantía de la Calidad realizará acompañamiento a las actividades extramurales realizadas por los grupos anteriormente dichos, donde se verificará el cumplimiento del proceso de verificacion y de inspeccion, vigilancia y control. </t>
  </si>
  <si>
    <t>1) Solicitar, analizar y depurar los reportes de la cartera vigente de comparendos, tasas de derechos de tránsito y acuerdos de pago incumplidos de acuerdo a lo definido en plan anual de recuperación de cartera, con el fin de obtener la relación de comparendos que quedarán en estado de cobro coactivo y consolidar la relación de los deudores a los que se les librará mandamientos de pago. El asesor de la oficina aplicará este control mínimo 2 veces al año.
2) Solicitar y analizar los reportes de entrega de las citaciones y notificación por correo de los mandamientos de pago enviados a los deudores por la empresa de mensajería para verificar a cuales deudores se les notificó debidamente y continuar con el proceso de notificación para aquellos a los que no se logró notificar. Este control se aplicará las veces que se envíen notificaciones y/o mandamientos de pago por mensajería.
3) Solicitar la publicación de la información correspondiente a los mandamientos de pago de los deudores a quienes no fue posible notificar por correo a través de la empresa de mensajería. Verificar que la publicación solicitada haya sido realizada. Este control se aplicará las veces que se envíen mandamientos de pago para publicación en la web.</t>
  </si>
  <si>
    <t>1) Socializar minimo 6 veces al año con los funcionarios, mensajes alusivos al riesgo, así como directrices y políticas para las buenas prácticas en la atención de trámites y atención al usuario con el fin de recordar las habilidades comportamentales.
2) Asignar minimo una vez al año a los funcionarios nuevas actividades y/o puntos de atención para el desempeño de sus funciones para reducir el riesgo evitando la creación de vínculos de confianza entre usuarios que frecuentan las sedes y los funcionarios.
3) Hacer seguimiento minimo 4 veces al año a los tiempos de atención de trámites, con el fin de revisar tiempos promedio de aprobación de trámites por cada funcionario y reducir la posibilidad de que usuarios o funcionarios ofrezcan o pidan beneficios por agilizar trámites retrasados.
4) Socializar mínimo 2 veces al año los trámites en línea habilitados en la secretaría con los ciudadanos para motivar el uso de estos medios y reducir el número de usuarios que interactúan con los funcionarios en las sedes.</t>
  </si>
  <si>
    <t>1. El tenico operativo adscrito al Despacho, que es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
2. Elaborar mensualmente informes de estado de PQRs por funcionario para implementar acciones de mejora, Seguimiento a PQRS: El tecnico operativo adscrito al despacho socializará semanalmente por correo electrónico los informes de PQRS elaborado desde su usuario de enlace de SIGOB evidenciando por funcionario los PQRS próximos a vencer o sin respuesta vencidos, adicionalmente le reportará semanalmente al jefe de área y al Secretario del proceso en un cuadro de excel el estado de los PQRS por funcionario. 
3. El tenico operativo adscrito al Despacho, que es el promoter ético de la dependencia, realizará capacitación a los funcionarios que ingresan por primera vez  a la entidad sobre sus derechos, deberes, compatibilidades e incomptabilidades, lo que quedará evidenciado en la lista de asistencia.</t>
  </si>
  <si>
    <t>1.CAPACITACION A FUNCIONARIOS Y CONTRATISTAS SOBRE LOS ESTATUTOS DE LA ENTIDAD: El Promotor ético de la Secretaría de Recreación y deportes gestionará y coordinará ,anualmente, la capacitaión sobre Código de Buen gobierno, Código disciplinario y Código de Integridad, con el in de que los funcionarios y contratistas tengan conocimiento de los mismos y cumplan con los estatutos de entidad. 2.  FORTALECIMIENTO DE LA GESTION ETICA EN EL PROCESO: La Promotora ética de la ecretaría de Recreación y Deporte implementará los planes de mejoramiento a través del desarrollo de estrategias pedagógicas - comunicativas consignadas en el cronogrma previsto para ello.3. EL Asesor de Despacho realizará mensualmente, análisis de vencimiento de términos a PQRS e implementará acciones tendientes a eliminar las causas de incumplimientos se los términos de respuesta.</t>
  </si>
  <si>
    <t xml:space="preserve">1.El tecnico operativo 214-01 hara la  revision semanal de los estados de los expedientes sancionatorios controlando el vencimiento.             
2.El tecnico operativo 201-01, asesor 105-5, y asesores externos  que tienen a su cargo las apelaciones de los  expedientes sancionatorios se reunen en capacitaciones y retroalimentacion. </t>
  </si>
  <si>
    <t>1, Seguimiento a PQRS: El tecnico operativo adscrito al despacho socializará mensualmente por correo electrónico los informes de PQRS enviados por la Secretaría General evidenciando por funcionario los PQRS proximos a vencer o sin respuesta vencidos, adicionalmente le reportará semanalmente al Secretario de Planeacion en un cuadro de excel el estado de los PQRS por funcionario. 
2. Implementación programa de ética,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t>
  </si>
  <si>
    <t>2) Solicitar, cuando se requiera, las acciones pertinentes a los responsables para evitar el vencimiento de términos informando las inconsistencias encontradas en el análisis de los reportes generados para cada grupo de comparendos analizado. Elaborar minimo 4 informes al año de los hallazgos y las acciones correctivas aplicadas.</t>
  </si>
  <si>
    <t>1) ) Generar y analizar mensualmente reportes para identificar los comparendos que requieren atención para evitar el vencimiento de los términos para sanción. Este control será aplicado por el profesional de la oficina.
2) Solicitar, cuando se requiera, las acciones pertinentes a los responsables para evitar el vencimiento de términos informando las inconsistencias encontradas en el análisis de los reportes generados para cada grupo de comparendos analizado. Elaborar mínimo 4 informes al año de los hallazgos y las acciones correctivas aplicadas.</t>
  </si>
  <si>
    <t>El profesional designado realiza la verificación de los documentos con lo señalado en el manual de funciones para corroborar el cumplimiento de las competencias.
Previo a la posesión del cargo, el funcionario verifica con listado de chequeo que el aspirante cuente con los requisitos legales para ello.</t>
  </si>
  <si>
    <t>1. 25%
2. 25%</t>
  </si>
  <si>
    <t>El profesional designado continua realizando la verificación de los documentos con lo señalado en el manual de funciones para corroborar el cumplimiento de las competencias.
Previo a la posesión del cargo, el funcionario verifica con listado de chequeo que el aspirante cuente con los requisitos legales para ello.</t>
  </si>
  <si>
    <t>1. 50%
2. 50%</t>
  </si>
  <si>
    <t>Surtidas las fases del concurso de méritos proceso 758 de 2018, se ha  realizado comunicación de periodo de prueba de acuerdo a las listas de elegibles en firme y comunicadas por la CNSC a la entidad.  
El profesional designado realiza la verificación de los documentos con lo señalado en el manual de funciones para corroborar el cumplimiento de las competencias.
Previo a la posesión del cargo, el funcionario verifica con listado de chequeo que el aspirante cuente con los requisitos legales para ello.
Se establece punto de control para revisión de los actos administrativos de nombramiento en periodo de prueba, con ocasión a la posesión de los funcionarios que ganaron el concurso de meritos adelantado por la Alcaldía con la CNSC, mediante proceso No. 758 de 2018.</t>
  </si>
  <si>
    <t>1. 75%
2. 75%</t>
  </si>
  <si>
    <t xml:space="preserve">Se finaliza el periodo con 325 comunicaciones de periodo de prueba de acuerdo a las listas de elegibles en firme y comunicadas por la CNSC a la entidad.  
El profesional designado realiza la verificación de los documentos con lo señalado en el manual de funciones para corroborar el cumplimiento de las competencias.
Previo a la posesión del cargo, el funcionario verifica con listado de chequeo que el aspirante cuente con los requisitos legales para ello.
</t>
  </si>
  <si>
    <t>1. 100%
2. 100%</t>
  </si>
  <si>
    <t>1.Se controla de manera permanente el vencimiento de términos</t>
  </si>
  <si>
    <t xml:space="preserve">Se han venido realizando actividades propuestas </t>
  </si>
  <si>
    <t xml:space="preserve">1. Control a los términos: Se realizara  control de términos mensualmente por los Coordinadores y trimestralmente por la Jefe de Oficina, cada operador disciplinario  debe  realizar  un informe  que reflejen el seguimiento, control y análisis de los vencimientos de términos en los procesos de investigación y sanción.                                                                                        
2. Seguimiento a los PQRS: El tecnico operativo realizará el seguimento mensualmente por correo electrónico los informes de PQRS enviados por la Secretaría General evidenciando por funcionario los PQRS proximos a vencer o sin respuesta vencidos.      </t>
  </si>
  <si>
    <t>Se realizó informe  de seguimiento a cada operador  disciplinario durante el año 2020    a corte de 31 de diciembre   de 2020 se recibieron 68 PQRS  las cuales fueron respondidas en su tiempo con un porcentaje de cumplimiento del 100%</t>
  </si>
  <si>
    <t>La Promotora ética del proceso contúa realizando las acciones pedagógicas comunicativas con todo el personal de la Secretaría a través del whatsapp:Se realizaron las jornadas de sensibilización Principios y Valores Éticos, Motores de la Integridad Pública el 29 de Julio, 26 de agosto y 30 de septiembre siendo esta última en la clausura de la semana de la Integridad Así mismo se vienen realizando seguimiento a los pqrsd para el vencimiento de términos</t>
  </si>
  <si>
    <t>Se definieron los lineamientos a seguir para la recuperación de la cartera a cargo de la Secretaría de Tránsito durante la vigencia 2020 lo cual quedó establecido en el Plan Anual de Recuperación de Cartera 2020, de acuerdo a esto, se ha solicitado de manera periódica a la oficina de Gestión Estrategica e Institucional (área de sistemas) el informe del estado actual de la cartera de comparendos físicos y derechos de tránsito y se ha consolidado con la información de comparendos electrónicos para clasificarlos en gestionables y de difícil cobro. El último reporte se generó el 13 de febrero del año en curso. Se está trabajando con el área de sistemas la conformación de los expedientes de cobro coactivo para iniciar con el proceso de notificación de los mismos.</t>
  </si>
  <si>
    <t>Periódicamente se solicita al área de sistema el informe del estado actual de la cartera tanto de comparendos físicos y derechos de tránsito. Además, se consolida con los comparendos electrónicos y se clasifican en gestionables y de difícil cobro. El último reporte se generó el 10 de junio del año en curso, detallando el valor de la cartera plena sin amnistía y el valor de la misma con amnistía (amnistía otorgada por el Decreto 678 de 2020). Se está trabajando con el área de sistemas la conformación de los expedientes de cobro coactivo para iniciar con el proceso de notificación de los mandamientos de pago de los comparendos 2018. Es de señalar que la secretaria aún se encuentra en el término legal para su notificación, para lo cual ya se solicitó la conformación de los expedientes al área de sistema de la secretaria para así empezar con el trámite de notificación de los mandamientos el cual deberá culminar a más tardar en diciembre de este año. En cuanto a las vigencias anteriores de derecho de tránsito, a través del Decreto 678 del 20 mayo del año año en curso, el Gobierno autorizo unos beneficios para deudores de las tasas e impuestos, por lo que la entidad dando cumplimiento a dicho Decreto parametrizo en el sistema la ampliación de dichos beneficios. En lo referente a la vigencia 2020 de derechos de tránsito, se estableció un descuento del 10% de la tasa si se paga hasta el 31 de marzo y e extendió hasta el 30 de junio de 2020 para incentivar el pago de los deudores, adicionalmente se fijó el 31 de agosto como fecha límite de pago de la tasa de derechos de transito de esta vigencia (tarifa plena sin descuentos).</t>
  </si>
  <si>
    <t xml:space="preserve"> Los mandamientos de pago de los comparendos impuestos en el año 2018 ya fueron generados y están en proceso de notificación de acuerdo a lo establecido en el articulo 826 del Estatuto Tributario Nacional, se están enviando las citaciones que es el primer paso para surtir las notificaciones y ya se han notificado de manera personal mandamientos de pago por lo comparendos impuestos en dicha anualidad. Con respecto a la tasa de derechos de transito aplicando lo establecido en el Estatuto Tributario Distrital y el manual de cartera, se ofreció la posibilidad a los deudores de realizar Acuerdo de pago, suscribiéndose 326 acuerdos de pago por concepto de la tasa por derechos de tránsito hasta el 25 de septiembre. Se procedió a notificar 9.769 resoluciones de incumplimiento de acuerdos de pago por comparendos físicos, lo cuales están en proceso de notificación. Adicionalmente se estableció un punto móvil de recaudo para otorgar facilidades de pago de las vigencias adeudas con los beneficios otorgados por el Decreto 678 del 20 mayo del año en curso. Se solicitaron los reportes a la empresa de mensajería de los envíos de las citaciones de manera definitiva para proceder con la notificación por correo de acuerdo a lo establecido en el Estatuto Tributario. Las notificaciones con aviso solo prceden cuando se definan los deudores que no pudieron ser notificados por otros medios antes mencionados.
</t>
  </si>
  <si>
    <t>Periódicamente se solicita al área de sistema el informe del estado actual de la cartera tanto de comparendos físicos y derechos de tránsito. Además, se consolida con los comparendos electrónicos y se clasifican en gestionables y de difícil cobro. Se solicitó al área de sistemas depuración de la cartera de los deudores de los comparendos en mora del año 2018, para la constitución de los expedientes de cobro coactivo. Se clasificó la cartera en los mayores deudores a los cuales se realizo investigacion de bienes y se emitio medida de embargo a bienes inmuebles y bienes muebles (vehiculos) y las medidas fueron registradas. Los mandamientos de pago de los comparendos impuestos en el año 2018 fueron generados y se han notificado de manera personal, se surtió el proceso de notificacion de estos mandamientos, por citacion, por correo en los casos en donde el ciudadano no acudio a la citacion de notificacion y por web a los casos en donde no fue posible ubicar direccion de notificacion. Se profirieron 52.427 medidas de embargo a productos financieros de todos los deudores de la tasa de derecho de transito vigencia 2018. Se realizó depuración de 51.000 títulos que registran en el banco agrario. Una vez realizada la depuracion se procedio a proferir las ordenes de seguir adelante con la ejecicion para proceder con la aplicación de los titulos, a la fecha se han aplicado 1942 titulos. Adicionalmente se aprobaron descuentos para las vigencias anteriores de derecho de tránsito de acuerdo a los beneficios otorgados por el Gobierno Nacional como incentivo para el pago de los deudores.</t>
  </si>
  <si>
    <t>Se realizaron revisiones mensuales de los procesos con solicitud de audiencia, esta revisión permite controlar el vencimiento de términos y evaluar el comportamientos de los procesos contravencionales en las  inspecciones. Se enviaron vía correo electrónico el comportamiento de audiencias a los inspectores informando los casos próximos a vencer, se solicitó al área de sistemas varios ajustes que nos ayudan a a mejorar el procedimiento de balanceo de cargas y asignación de las mismas. Se reformularon los indicadores de gestión asociados a la revisión periódica de los comparendos impuestos, y se definió una nueva metodología para el seguimiento.</t>
  </si>
  <si>
    <t>Se realiza revisión y control mensual de los comparendos que requerirán atención prioritaria no obstante que los términos se encuentran suspendidos por decreto presidencial 0376 del 17 de marzo de 2020. Se espera enviar gradualmente los resultados de estos controles a los responsables con el fin de revisar la información y organizar sus agendas para evitar el vencimiento de términos en cuanto se levante la suspensión de los mismos.
Se han implementado mejoras al procedimiento de celebración de audiencias principalmente en la reorganización de las actividades y la inclusión de un instructivo que permita a los funcionarios recordar y aplicar los aspectos fundamentales del proceso contravencional por embriaguez. Adicionalmente se enviará a los responsables los detalles de los comparendos que deben ser atendidos de manera prioritaria con el fin de organizar sus agendas de acuerdo al resultado de los controles aplicados. Cabe a aclarar que debido a la a suspensión de términos ordenada por el decreto presidencial 0376 del 17 de marzo de 2020 los procesos contravencionales serán fallados en cuanto se levante la suspensión.</t>
  </si>
  <si>
    <t xml:space="preserve">Se realizó revisión y control mensual de los comparendos que requerirán atención prioritaria una vez levantado los terminos , se solicitó a los inspectores las direcciones de los presuntos infractores de los procesos asignados a su inspeccion a fin de dar celeridad al proceso de notificacion y  darle continuidad a las audiencias publicas, se realizó reasignacion de expedientes entre los inspectores y se asignó un inspector adicional para atencion de audiencias  publicas a fin de equlibrar  las cargas en las inspecciones, ademas se designó un nuevo grupo de inspectores que conoceran de procesos de alcoholemia. </t>
  </si>
  <si>
    <t>Se dio inicio a los procesos contravencionales una vez levantados los terminos de la emergencia  decertada 17 de marzo de 2020. Se realiza revision mensual y se envía gradualmente los resultados de estos controles a los responsables con el fin de revisar la información y organizar sus agendas para evitar el vencimiento de términos. Se han implementado mejoras al procedimiento de celebración de audiencias principalmente en la reorganización de las actividades y la inclusión de un instructivo que permita a los funcionarios recordar y aplicar los aspectos fundamentales del proceso contravencional por embriaguez. Adicionalmente se enviò a los responsables los detalles de los comparendos que deben ser atendidos de manera prioritaria con el fin de organizar sus agendas de acuerdo al resultado de los controles aplicados. Se reasignaron expedientes a las inspecciones con el fin de balancear las agendas de los inspectores y Como mejoras se realizò rotacion de inspectores para que todos tengan la oportunidad  de conocer de  los diferentes procesos contravencionales  llevados a cabo en esta area.</t>
  </si>
  <si>
    <t>La secretaria publicó a través de redes sociales y comunicados de prensa información sobre los tramites que pueden ser adelantados en línea como en respuesta al estado de emergencia declarado en el distrito.
Se realizó una rotación de personal en el mes de febrero. Se espera planear y programa la socialización de mensajes alusivos a los riesgos a partir del mes de Mayo. Adicionalmente se definió la creación de un comité de control a las actividades de la oficina de procesos contravencionales y se modificará la forma en que e asignan las audiencias de alcoholemia a los inspectores logrando que no sea solo un grupo de inspectores dedicados a estos casos sino que sean asignados por demanda.
Se revisaron y ajustaron los indicadores de trámites atendido y tiempo de aprobación de trámites.
Se realizó el seguimiento respectivo a los mismos de acuerdo a los ajuste realizados.</t>
  </si>
  <si>
    <t>Se postergó para el segundo semestre del año la implementación del cronograma estructurado, así como la utilización de medios  y formatos idóneos de la campaña de socialización de mensajes alusivos al riesgo. Se espera que la socialización de estos mensajes inicie en el mes de julio. Durante el mes de febrero de la actual vigencia se realizó la rotación para 100% del personal técnico y asistencial asignado a sedes de atención, validando criterios de "no repetición" para cada punto, balanceado la capacidad operativa de los mismos. Así mismo, se realiza una rotacion semanal del personal entre las activiades para evitar la materialización del riesgo durante el período de emergencia sanitaria. Las mediciones de los tiempos de atención para trámites atendidos se realizaron mensualmente y su evaluación se realizó al finalizar el mes de junio. Durante este período se alcanzó un tiempo promedio de 12hr37mins para cada trámite atendido por esta Oficina. Durante el segundo trimestre los tiempos de atención se vieron afectados por trámites que quedaron pendientes por atención al cierre de obligatorio decretado por el Gobierno Nacional, los cuales fueron atendidos prioritariamente una vez se reiniciaron actividades. Los correctivos fueron tomados y durante el mes de junio solo 4% de los trámites se atendieron en un tiempo mayor a 6hrs. La emergencia sanitaria ocasionada decretada a nivel nacional ha facilitado la implementación de 18 trámites en línea, facilitando a la ciudadania el acceso a la gestón de tramites desde sus casas, sin necesidad de acercarse a las sedes de atención. Se realizó la promoción de estos trámites  a través de Twitter: @TransitoBaq, Instagram: @TransitoBaq y Facebook: Secretaría de Tránsito y Seguridad Vial y asi mismo se hizo por medios de comunicados de prensa con campañas como "Quedatre en casa y hazlo desde allí", "Haz tus tramites desde casa", "Tramite de licencia de conducción" y "Tramites que puedes realizar ante el RUNT" informando el correo a donde los ciudadanos pueden pedir citas, asi mismo se usaron mensajes de dibulgación por redes sociales como "¿Sabías que en la Secretaría de Tránsito y Seguridad Vial puedes realizar tus trámites de manera virtual? Ingresa aquí 👉bit.ly/2N9cjJh y conoce cuáles son y el paso a paso para realizarlos."</t>
  </si>
  <si>
    <t>En la oficina de Procesos Contravencionales se realizó reasignacion de expedientes entre los inspectores y se asignó un inspector adicional para atencion de audiencias  publicas a fin de equlibrar  las cargas en las inspecciones, ademas se designó un nuevo grupo de inspectores que conoceran de procesos de alcoholemia. Fortalecer los canales electronicos de atención reduce el contacto con el recurso humano por tanto enmedio de la pandemia se vieron oportunidades de reducri el riesgo de mediante la promoción del uso de los canales virtuales, de esta manera a través de las redes sociales de la Secretaría de Tránsito y Seguridad Vial:  Twitter: @TransitoBaq, Instagram: @TransitoBaq y Facebook: Secretaría de Tránsito y Seguridad Vial, se ha realizado la promoción de los más de 10 trámites en línea donde la ciudadanía puede acceder sin necesidad de trasladarse a las sedes. La divulgación de los mismos se ha realizado con trinos referentes a un trámite especifico, y videos muestran el paso a paso de los tramites. De manera recurrente se le recuerda a la ciudadanía los trámites disponibles. Ejemplo de ellos: " Sabías que puedes solicitar el certificado de tradición a través de nuestra página web barranquilla.gov.co/transito  Ingresa aquí  bit.ly/2GV4uHr ¡Es muy rápido y fácil!", " ¿Quieres acceder a un acuerdo de pago? Hazlo en línea es rápido y fácil. Ingresa aquí   bit.ly/34QZ9dU.  Podrás acogerte a uno siempre y cuando tu multa no se haya generado por conducir en estado de embriaguez o bajo los efectos de las sustancias psicoactivas", " Sabías que a través de nuestra página web barranquilla.gov.co/transito puedes pagar tus comparendos físicos de forma 100% segura. Ingresa aquí  bit.ly/32lOSoz  ¡Es muy rápido y fácil!", "#SabiasQue través de nuestra página web, puedes realizar el trámite de salida de vehículo.   Conoce el paso a paso aquí  (Video)".</t>
  </si>
  <si>
    <t>Se realizaron de 10 socializaciones acuerdo cronograma para cumplimiento de metas en los boletines 8, 10 ,12, 14, 15, 17, 20,  22, 23 y 24 correspondientes  a los meses de abril, mayo, junio, julio, agosto y septiembre, Otubre, Noviembre y Diciembre. La Solidaridad, la Responsabilidad Social Individual (realizada por la OSCC y SG), el Respeto, Trabajo en Equipo,  La Honestidad, La amabilidad, video del Codigo de Integridad,  Transparencia y Justicia, Conflicto de Intereses-Principios, Triangulo de la Integridad Pública y Codigo de Integridad-Conflicto de Intereses. Se realizaron las jornadas de sensibilización Principios y Valores Éticos, Motores de la Integridad Pública el 29 de Julio, 26 de agosto y 30 de septiembre siendo esta ultima en la clausura de la semana de la Integridad. Se realizaron jornadas de socialización sobre lineamientos de buenas prácticas para la atención al usuario, así como mensajes por correo electrónico dirigido a los funcionarios de la Oficina de Registro de Tránsito. Durante el mes de febrero de la actual vigencia se realizó la rotación para 100% del personal técnico y asistencial asignado a sedes de atención, validando criterios de "no repetición" para cada punto, balanceando la capacidad operativa de los mismos. Así mismo, se realiza una rotacion semanal del personal entre las activiades para evitar la materialización del riesgo durante el período de emergencia sanitaria. Las mediciones de los tiempos de atención para trámites atendidos se realizaron mensualmente y su evaluación se realizó al finalizar el mes de noviembre. Durante este período se alcanzó un tiempo promedio de 6hr 36mins para cada trámite atendido por esta Oficina. Los trámites accesibles al ciudadano a través de canales digitales han sido socializados mediante comunicados de prensa oficiales y redes sociales, así mismo se encuentran publicados instructivos y abc de los trámites en línea, esto con el objeto de fortalecer los canales electronicos de atención para reducir el contacto funcionario-usuario, de esta manera a través de las redes sociales de la Secretaría de Tránsito y Seguridad Vial:  Twitter: @TransitoBaq, Instagram: @TransitoBaq y Facebook: Secretaría de Tránsito y Seguridad Vial, se ha realizado la promoción de los trámites en línea.</t>
  </si>
  <si>
    <t>1.Implementación de  estrategias para resaltar los valores éticos para la toma de conciencia a traves del INFO
2.Los agentes de cambio de la Secretaria de Hacienda revisaran semestralmente la necesidad de ajustes en los procedimientos de sus áreas originados por cambios
3.Socialización mensual de los informes de PQRS enviados por la Oficina de Atención al ciudadano</t>
  </si>
  <si>
    <t>1.Se han publicado 3 mensajes alusvisos a la gestión ética en la entidad, en los boletines 8, 10 y 12 correspondientes  a los meses de abril, mayo y junio.  Los temas tratados fueron: la solidaridad, la responsabilidad y el respeto.
2.Se actualizo el procedimiento de cuentas por pagar por fiducia y se crearon 2 nuevos procedimientos en tesoreria
3. Mensualmente se sociliza la información de PQRS enviados por la Oficina de Atención al ciudadano</t>
  </si>
  <si>
    <t>1. Se han realizado 4 socializaciones en los boletines  14, 15, 17, correspondientes  a los meses de  julio, agosto y septiembre. La Solidaridad, la Responsabilidad Social Individual (realizada por la OSCC y SG), el Respeto, Trabajo en Equipo,  La Honestidad, La amabilidad y video del Codigo de Integridad. Se realizo la semana de la integridad del 26 de agosto y 30 de septiembre
2.Mensualmente se sociliza la información de PQRS registrados en Sigob, realizando seguimiento al cumplimiento de la gestión y su respectivo tiempo por cada funcionario, informando tanto a los funcionarios que realizan dicha gestión como a los rspectivos jefes.</t>
  </si>
  <si>
    <t>1.Se realizaron 10 socializaciones acuerdo cronograma para cumplimiento de metas en los boletines 8, 10 ,12, 14, 15, 17, 20,  22, 23 y 24 correspondientes  a los meses de abril, mayo, junio, julio, agosto y septiembre, Otubre, Noviembre y Diciembre. La Solidaridad, la Responsabilidad Social Individual (realizada por la OSCC y SG), el Respeto, Trabajo en Equipo,  La Honestidad, La amabilidad, video del Codigo de Integridad,  Transparencia y Justicia, Conflicto de Intereses-Principios, Triangulo de la Integridad Pública y Codigo de Integridad-Conflicto de Intereses.
2. Se realizó la celebración de la semana de la integridad entre el dia 23 de septiembre y el dia 30 de Septiembre, contando con una participación de un poco mas de 200 funcionarios. 
3. Mensualmente se sociliza la información de PQRS registrados en Sigob, realizando seguimiento al cumplimiento de la gestión y su respectivo tiempo por cada funcionario, informando tanto a los funcionarios que realizan dicha gestión como a los respectivos jefes. Elaboracion trimestrales y se envia a tencion al ciudadano</t>
  </si>
  <si>
    <t xml:space="preserve"> -Rotacion del recurso humano.
- Reasignacion de funcionarios en areas de bajo riesgo
- Seguimiento estricto a las acciones desarrolladas por los funcionarios, verificando cumplimiento de las actividades.</t>
  </si>
  <si>
    <t xml:space="preserve"> -Rotacion del recurso humano.
- Reasignacion de funcionarios en areas de bajo riesgo
- Seguimiento estricto a las acciones desarrolladas por los funcionarios, verificando cumplimiento de las actividades.
-Realización de Comités Técnicos con el jefe de oficina y equipos de trabajo.</t>
  </si>
  <si>
    <t>Revisión por parte del equipo profesional asignado  al momento de radicación de la solicitud de contratación. se establece con claridad la necesidad, el objeto, alcance, experiencia y formación del contratista, plazo, etc. requeridos para ejecutar el objeto del contrato</t>
  </si>
  <si>
    <t>Fortalecimiento en la elaboración de estudios previos para garantrizar la pluralidad de proponentes y el registro de proveedores .</t>
  </si>
  <si>
    <t xml:space="preserve">Socializaciones  periodicas con el equipo de contratacion y los enlaces de las distintas secretarias solicitanrtes mediante reuniones virtuales programadas en su correo electronico, con el objetivo de retroalimentar y  fortalecer la elaboracion de los estudios previos y de esta forma garantizar la pluralidad de proponentes y el registro de proveedores </t>
  </si>
  <si>
    <t>1. Para esta vigencia se realizó  la rotación de funciones a los funcionarios adscritos a esta oficina, con el fin de garantizar una optima prestación de los trámites/servicios prestados al público, estas quedaron registradas en la concertación de funciones realizadas durante este primer trimestre.
2.Durante este trimestre el gestor etico desarrolló 2 actividades encaminadas al fortalecimiento Etico de los funcionarios adscritos a este proceso.
3.La funcionaria designada como enlace documental de la oficina ha solicitado cada mes a cada funcionario un reporte de las actividades realizadas, incluidos los PQRS asignados con el fin de verificar el cumplimiento de las metas establecidas por la jefe de oficina y poder remitir a la oficina competente el debido informe.</t>
  </si>
  <si>
    <t>Durante este periodo el gestor ético desarrolló diferentes actividades encaminadas al fortalecimiento Etico de los funcionarios adscritos a este proceso; difusión a traves de piezas publicitarias los siguientes mensajes:
´-El 30 de abril de 2020 se difundió por correo electrónico y WhatssApp el mensaje Soy ético, Soy Solidario, Soy Barranquilla.
´-El 27 de mayo a través de la campaña Vamo a Controlarno de la Gerencia de Control Interno de Gestión promoviendo el trabajo en casa, se divulgaron los valores institucionales (Responsabilidad y Diligencia, Transparencia y Justicia, Servicio y Compromiso, Respeto, Honestidad, Amabilidad y Trabajo en equipo),   que promueven la cultura del autocontrol, por correo electrónico y whatssApp,  y en las redes Todos Contamos de la Alcaldía de Barranquilla.
´-El 30 de mayo se divulgó por correo electrónico y WhatssApp el mensaje: Responsabilidad Social Individual: conducta ética del ciudadano para consigo mismo y con su entorno: a nivel laboral, colectivo, social y familiar. Soy Ético, Soy Responsable# Como se debe.
´-El 30 de junio se difundió el mensaje: Dentro y fuera de la Alcaldía de Barranquilla, Soy Ético,  si comenzamos a respetarnos a nosotros mismos, aprendemos a respetar a los demás. Respeto a mi familia, respeto a la autoridad, y respeto a la comunidad. Soy Barranquilla Imparable.
Asi mismo, durante este corte se dieron trámite a las PQRSD allegadas a la oficina. No obstante el porcentaje de cumplimiento reportado, según la herramienta SIGOB es del 55%, razón por la cual se revisara detalladamente las causales de este resultado.
La funcionaria designada como enlace documental de la oficina ha solicitado cada mes a cada funcionario un reporte de las actividades realizadas, incluidos los PQRS asignados con el fin de verificar el cumplimiento de las metas establecidas por la jefe de oficina y poder remitir a la oficina competente el debido informe.</t>
  </si>
  <si>
    <t>Durante este periodo se difundieron a traves de piezas publicitarias los siguientes mensajes:
-El 21 de julio se divulgó el video de los Principios y Valores del Código de Integridad. Vía Instagram. Todos Contamos. Redes oficiales de la Alcaldía de Barranquilla.
-El 24 de julio se publicó el mensaje de ética: Trabajo en equipo. A través del correo electrónico a contratistas y nombrados, whatsapp y el boletín informativo virtual de la Alcaldía en Facebook, Todos Contamos.
-El 10 de agosto se publicó el mensaje de ética: La honestidad. Lo que debo hacer y lo que no debo hacer . A través del correo electrónico a contratistas y nombrados, whatsapp y el boletín informativo virtual de la Alcaldía en Facebook, Todos Contamos.
-El 7 de septiembre se publicó el mensaje de ética: La amabilidad. Un funcionario amable es el que se conduce con simpatía, delicadeza, sencillez y empatía. La amabilidad es un valor que nos hace mirar y tratar al otro con el respeto y la cortesía que merece, y es fundamental para establecer relaciones de calidad. A través del correo electrónico a contratistas y nombrados, whatsapp y el boletín informativo virtual de la Alcaldía en Facebook, Todos Contamos.
Y en lo que respecta  al seguimientos de PQRSD, de acuerdo a resultados de seguimiento arrojados por el aplicativo SIGOB se enviaron a traves de correo electronico indicaciones grupales y personalizados a diferentes funcionarios con el fin seguir mejorante el porcentaje de cumplimiento en respuestas a PQRSD.</t>
  </si>
  <si>
    <t>Durante este periodo se emitieron dos nuevos mensajes eticos y se cumplieron con los 10 mensajes eticos proyectados para esta vigencia, estos fueron enviados a traves de los medios de comunicación dispuestos:
´- El 19 de Octubre se emitió el mensaje ético alusivo a la transparencia y Justicia.
´-El 17 de Noviembre  se publicó el mensaje de ética: Ante un conflicto de intereses, el interes general prevalece sobre el particular.
Con respecto al análisis y seguimiento del estado de PQRS, se indica que un grupo de funcionarios asignado por la jefe de oficina realizó un proceso de depuración de las bases de datos de PQRSD manejados en la oficina.
Con base a la depuración realizada se envió a cada funcionario/contratista un listado de los PQRSD pendientes para que revisaran lo que hubiese lugar y atendieran favorablemente en el SIGOB y  teniendo en cuenta los resultados obtenidos se observa un significativo aumento en el porcentaje de cumplimiento en los tiempos de respuesta,  lo cual indica que  los controles aplicados fueron efectivos.</t>
  </si>
  <si>
    <t>1. Informe mensual socializado
2. Elaboración y socialización de memorando del secretario. Se han elaborado dos memorandos por parte del secretario para promocionar la oportunidad en las respuetas a las PQRS</t>
  </si>
  <si>
    <t xml:space="preserve">1. 25%
2. 100% </t>
  </si>
  <si>
    <t xml:space="preserve">1. 50%
2. 100% </t>
  </si>
  <si>
    <t>1. Informe de PQRS  mensual socializado
2. Elaboración y socialización de memorando del secretario. Se han elaborado dos memorandos por parte del secretario para promocionar la oportunidad en las respuetas a las PQRS</t>
  </si>
  <si>
    <t>1. 75%
2. 100%</t>
  </si>
  <si>
    <t>1.  Informe mensual socializado. Se tiene un tablero de Control para informar a los Jefes de cada Oficina
2. En este último periodo no ha habido memorandos del Secretario.</t>
  </si>
  <si>
    <t xml:space="preserve">1. En el primer trimestre se realiza inscripción en el SUIT del OPA Entrega de Estímlo de transporte
2. Se realiza seguimiento mensual a los enlaces que reportan los trámites con el fin de tener el control y en caso de ajustes en los datos de operación se logré realizar en el reporte trimestral.
3. Al tener un cambio de promotor ético, y no tener un gestor ético, las actividades no se han realizado, por lo que se propone realizarlos en el segundo trimestre de forma interna en la secretaría.
4. Se elaboran informes mensuales identificando así las oportunidades de mejora en la prestación de los servicios.
</t>
  </si>
  <si>
    <t>1.  25%
2. 25%
3. 0%
4. 19,59%</t>
  </si>
  <si>
    <t>1. En el segundo trimestre no se registraron nuevos tramites
2. Se realiza seguimiento mensual a los enlaces que reportan los trámites con el fin de tener el control y en caso de ajustes en los datos de operación se logré realizar en el reporte trimestral.
3. Al tener un cambio de promotor ético se da inicio a la ejecución de las actividades correspondiente a la gestión ética  durante el segundo trimestre.
4. Se elaboran informes mensuales identificando así las oportunidades de mejora en la prestación de los servicios.</t>
  </si>
  <si>
    <t>1.  50%
2. 50%
3. 30%
4. 49,93%</t>
  </si>
  <si>
    <t>1. En el tercer trimestre no se registraron nuevos tramites
2. Se realiza seguimiento mensual a los enlaces que reportan los trámites con el fin de tener el control y en caso de ajustes en los datos de operación se logró realizar en el reporte trimestral.
3. El promotor ético designado da cumplimiento a la ejecución de las actividades correspondiente a la gestión ética  durante el tercer trimestre.
4. Se elaboran informes mensuales identificando así las oportunidades de mejora en la prestación de los servicios.</t>
  </si>
  <si>
    <t>1.  75%
2. 75%
3. 75%
4. 74,16%</t>
  </si>
  <si>
    <t>1. En el cuarto trimestre no se registraron nuevos tramites
2. Se realiza seguimiento mensual a los enlaces que reportan los trámites, los cuales son registrados respectivamente en el SUIT
3. El promotor ético designado da cumplimiento a la ejecución de las actividades correspondiente a la gestión ética  durante el tercer trimestre.
4. Se elaboran informes mensuales identificando así las oportunidades de mejora en la prestación de los servicios.</t>
  </si>
  <si>
    <t>1.  100%
2. 100%
3. 100%
4. 99,4%</t>
  </si>
  <si>
    <t>1. La Promotora ética socializó a través del grupo de whatsapp de la Secretaría, el Código de integridad . 2. La Promotora ética ha socializado mensajes sobre el ambiente ético a todo el personal nombrado y contratista de la Secretaría a través del whatsapp, así como la firma del acta de compromiso ético 3. Se viene realizando el seguimiento a los términos de respuesta y a la calidad de la misma,de los PQRSD.</t>
  </si>
  <si>
    <t>1. La Promotora ética socializó valores éticos, por medio del envío de tres mensajes en el trimestre a través de whatsapp, donde se muestra el espíritu solidario, la capacidad de servicio y el trabajo en equipo en el mensaje del mes de Abril.En el de mayo, la responsabilidad social y en junio pedagogía sobre el respeto a la familia, la autoridad y la comunidad.2. Se Fortalece la gestión etica a través de las estrategias pedagógicas comunicativas.3. Se continúa realizando el seguimiento de los términos de vencimiento de las pqrsd.</t>
  </si>
  <si>
    <t>La Promotora ética del proceso contúa realizando las acciones pedagógicas comunicativas con todo el personal de la Secretaría a través del whatsapp, Así mismo se vienen realizando seguimiento a los pqrsd para el vencimiento de términos</t>
  </si>
  <si>
    <t>El personal de archivo de historias laborales, relacionan oportunamente los documentos de la HL en la respectiva hoja de control.
Se revisan las cajas para actualizar inventario vs base de datos.
El funcionario designado registra de manera oportuna y permanente los prestamos de HL en el registro de control de prestamos.
La información registrada en CETIL es verificada por el funcionario designado con la información de los actos administrativos, para luego autorizar la firma del CETIL</t>
  </si>
  <si>
    <t xml:space="preserve">1. 25%
2. 25%
3. 25%
4. 25%
</t>
  </si>
  <si>
    <t xml:space="preserve">1. 50%
2. 50%
3. 50%
4. 50%
</t>
  </si>
  <si>
    <t xml:space="preserve">1. 75%
2. 75%
3. 75%
4. 75%
</t>
  </si>
  <si>
    <t xml:space="preserve">1. 100%
2. 100%
3. 100%
4. 100%
</t>
  </si>
  <si>
    <t xml:space="preserve">1) los expedientes sancionatorios se someten a revision por parte del lidel del grupo para revisar la decisión tomada. </t>
  </si>
  <si>
    <t xml:space="preserve">1) los expedientes sancionatorios se someten a dos filtros internos  para revisar la decisión tomada y que estas esten ajustadas a derecho. </t>
  </si>
  <si>
    <t>Para esta vigencia se realizó  la rotación de funciones a los funcionarios adscritos a esta oficina, con el fin de garantizar una optima prestación de los trámites/servicios prestados al público, estas quedaron registradas en la concertación de funciones realizadas durante este primer trimestre. Asi mismo, el gestor ético desarrolló 2 actividades encaminadas al fortalecimiento Etico de los funcionarios adscritos a este proceso.</t>
  </si>
  <si>
    <t>Durante este periodo se difundieron a traves de piezas publicitarias los siguientes mensajes:
´-El 30 de abril de 2020 se difundió por correo electrónico y WhatssApp el mensaje Soy ético, Soy Solidario, Soy Barranquilla.
´-El 27 de mayo a través de la campaña Vamo a Controlarno de la Gerencia de Control Interno de Gestión promoviendo el trabajo en casa, se divulgaron los valores institucionales (Responsabilidad y Diligencia, Transparencia y Justicia, Servicio y Compromiso, Respeto, Honestidad, Amabilidad y Trabajo en equipo),   que promueven la cultura del autocontrol, por correo electrónico y whatssApp,  y en las redes Todos Contamos de la Alcaldía de Barranquilla.
´-El 30 de mayo se divulgó por correo electrónico y WhatssApp el mensaje: Responsabilidad Social Individual: conducta ética del ciudadano para consigo mismo y con su entorno: a nivel laboral, colectivo, social y familiar. Soy Ético, Soy Responsable# Como se debe.
´-El 30 de junio se difundió el mensaje: Dentro y fuera de la Alcaldía de Barranquilla, Soy Ético,  si comenzamos a respetarnos a nosotros mismos, aprendemos a respetar a los demás. Respeto a mi familia, respeto a la autoridad, y respeto a la comunidad. Soy Barranquilla Imparable.</t>
  </si>
  <si>
    <t>Socialización al interior de la dependencia junto el equipo ético.
Se han realizado 7 socializaciones en los boletines 8,10,12,14,15 y 17, correspondientes a los meses de abril, mayo, junio, julio, agosto, y septiembre. La solidaridad, la responsabilidad, social individual (realizada por OSCG y SG), el respeto, trabajo en equipo, la honestidad, la amabilidad, y video del código de integridad.
De las 8 reuniones MENSUALES programas para el año, se han desarrollo 6. El 75% corresponde al desarrollo de estas 6 reuniones.
Se realizó el día 14 de agosto “Sopa de Letras descubramos nuestros Valores, el 28 de agosto crucigrama "Pruébate, Cuanto conoces nuestros principios y Valores Institucionales", el 23 de septiembre iniciando la semana de la integridad “Acróstico con la palabra Integridad “y una ultima el día 28 de septiembre "Juguemos Recordando".</t>
  </si>
  <si>
    <t>1.	Se socializaron 3 publicidades con mensajes alusivos a nuestro ambiente ético y a la emergencia de salud que vivimos, con el apoyo de la Secretaría de Comunicaciones del Distrito, las cuales fueron publicadas en el Boletín N° 20, 22 y 23 correspondientes a los meses de octubre, noviembre y diciembre.  Los temas tratados fueron: La transparencia y justicia, conflictos de interés y código de integridad.</t>
  </si>
  <si>
    <r>
      <rPr>
        <sz val="10"/>
        <color rgb="FF000000"/>
        <rFont val="Arial"/>
        <family val="2"/>
      </rPr>
      <t>1)</t>
    </r>
    <r>
      <rPr>
        <b/>
        <sz val="10"/>
        <color rgb="FF000000"/>
        <rFont val="Arial"/>
        <family val="2"/>
      </rPr>
      <t xml:space="preserve"> </t>
    </r>
    <r>
      <rPr>
        <sz val="10"/>
        <color rgb="FF000000"/>
        <rFont val="Arial"/>
        <family val="2"/>
      </rPr>
      <t xml:space="preserve">Se sometieron a revision los expedientes sancionatorios, pasandolos por los filtros internos de revision. </t>
    </r>
  </si>
  <si>
    <t>1. Se envío a secretaría general - Atención al ciudadano- estadísticas arrojadas por el SAC de cumplimiento de oportunidad en la respuesta de las PQRS.
2. Se incluyó en el cronograma de actividades del SGC el análisis de respuesta al SAC.
3. Se envía correo electrónico a los funcionarios de la SED informando los PQRS que se encuentran vencidos y próximos a vencer.</t>
  </si>
  <si>
    <t>1° Se envío correo electrónico a la oficina de atención al ciudadano de secretaría general el informe estadistico de oportunidad en la respuesta el día 16 de julio de 2020.
2° Se realizará análisis de respuesta en el tercer trimestre del 2020, de manera virtual a las respuestas dadas a las PQRS.
3° Se envía correo electrónico a los funcionarios de la SED informando estado de sus PQRS, último reporte es del 21 julio de 2020.</t>
  </si>
  <si>
    <t>1° Se envio correo electrónico a la oficina de atención al ciudadano de secretaría general el informe estadistico de oportunidad en la respuesta.
2° Se envía correo electrónico a los funcionarios de la SED informando estado de sus PQRS.</t>
  </si>
  <si>
    <t>1° Se envio correo electrónico a la oficina de atención al ciudadano de secretaría general con el informe estadístico de oportunidad en la respuesta.
2° Se envía correo electrónico a los funcionarios de la SED informando estado de sus PQRS</t>
  </si>
  <si>
    <t xml:space="preserve">1. Divulgación de dos (2) mensajes Éticos a través de correo institucional a personal del Proceso              </t>
  </si>
  <si>
    <t xml:space="preserve">1. Divulgación de tres (3) mensajes Éticos a través de correo institucional a personal del Proceso.   </t>
  </si>
  <si>
    <t>1. Divulgación de tres (3) mensajes Éticos a través de correo institucional a personal del Proceso                                                             
2. Dado la suspensión de los términos con ocasión de la Pandemia, se dió la participación de los profesionales en las patrullas Covid-19 para el control de medidas en construcciones y cercos sanitarios</t>
  </si>
  <si>
    <t>1. Divulgación de tres (3) mensajes Éticos a través de correo institucional a personal del Proceso
2. Dado la suspensión de los términos con ocasión de la Pandemia, se dió la participación de los profesionales en las patrullas Covid-19 para el control de medidas en construcciones y cercos sanitarios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</si>
</sst>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name val="Arial"/>
      <family val="2"/>
    </font>
    <font>
      <b/>
      <sz val="11.5"/>
      <color rgb="FF000000"/>
      <name val="Calibri"/>
      <family val="2"/>
    </font>
    <font>
      <b/>
      <sz val="14"/>
      <color rgb="FF000000"/>
      <name val="Calibri"/>
      <family val="2"/>
    </font>
    <font>
      <sz val="10"/>
      <color rgb="FF000000"/>
      <name val="Calibri"/>
      <family val="2"/>
    </font>
    <font>
      <sz val="11"/>
      <color theme="1"/>
      <name val="Calibri"/>
      <family val="2"/>
      <scheme val="minor"/>
    </font>
    <font>
      <sz val="11"/>
      <name val="Arial"/>
      <family val="2"/>
    </font>
    <font>
      <b/>
      <sz val="10"/>
      <color rgb="FF000000"/>
      <name val="Arial"/>
      <family val="2"/>
    </font>
    <font>
      <sz val="10"/>
      <color rgb="FF000000"/>
      <name val="Times New Roman"/>
      <family val="1"/>
    </font>
  </fonts>
  <fills count="2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
      <patternFill patternType="solid">
        <fgColor rgb="FFFFFFFF"/>
        <bgColor rgb="FFFFFFFF"/>
      </patternFill>
    </fill>
    <fill>
      <patternFill patternType="solid">
        <fgColor theme="0"/>
        <bgColor theme="0"/>
      </patternFill>
    </fill>
  </fills>
  <borders count="38">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8" fillId="0" borderId="0"/>
    <xf numFmtId="9" fontId="28" fillId="0" borderId="0" applyFont="0" applyFill="0" applyBorder="0" applyAlignment="0" applyProtection="0"/>
  </cellStyleXfs>
  <cellXfs count="167">
    <xf numFmtId="0" fontId="0" fillId="0" borderId="0" xfId="0"/>
    <xf numFmtId="0" fontId="0" fillId="0" borderId="0" xfId="0" applyProtection="1"/>
    <xf numFmtId="0" fontId="1" fillId="0" borderId="0" xfId="0" applyFont="1" applyAlignment="1" applyProtection="1">
      <alignment horizontal="center" vertical="center" wrapText="1"/>
    </xf>
    <xf numFmtId="0" fontId="4" fillId="0" borderId="0" xfId="0" applyFont="1" applyProtection="1"/>
    <xf numFmtId="0" fontId="4" fillId="0" borderId="0" xfId="0" applyFont="1" applyAlignment="1" applyProtection="1">
      <alignment horizont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4" borderId="0" xfId="0" applyFont="1" applyFill="1" applyAlignment="1" applyProtection="1">
      <alignment horizontal="center" vertical="center"/>
    </xf>
    <xf numFmtId="164" fontId="5"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6" fillId="0" borderId="0" xfId="0" applyFont="1" applyProtection="1"/>
    <xf numFmtId="0" fontId="6" fillId="0" borderId="0" xfId="0" applyFont="1" applyAlignment="1" applyProtection="1">
      <alignment wrapText="1"/>
    </xf>
    <xf numFmtId="0" fontId="4" fillId="0" borderId="0" xfId="0" applyFont="1" applyAlignment="1" applyProtection="1">
      <alignment wrapText="1"/>
    </xf>
    <xf numFmtId="0" fontId="2" fillId="0" borderId="0" xfId="0" applyFont="1" applyAlignment="1" applyProtection="1">
      <alignment horizontal="left" vertical="center"/>
    </xf>
    <xf numFmtId="0" fontId="8" fillId="0" borderId="0" xfId="0" applyFont="1" applyAlignment="1" applyProtection="1">
      <alignment vertical="center"/>
    </xf>
    <xf numFmtId="0" fontId="1" fillId="4" borderId="0" xfId="0"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left"/>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3" fillId="0" borderId="2" xfId="0" applyFont="1" applyBorder="1" applyAlignment="1" applyProtection="1">
      <alignment horizontal="left" vertical="center"/>
      <protection locked="0"/>
    </xf>
    <xf numFmtId="164" fontId="14" fillId="0" borderId="2"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 xfId="0" applyFont="1" applyBorder="1" applyAlignment="1" applyProtection="1">
      <alignment horizontal="center" vertical="center"/>
      <protection locked="0"/>
    </xf>
    <xf numFmtId="164" fontId="14" fillId="0" borderId="4" xfId="0" applyNumberFormat="1" applyFont="1" applyBorder="1" applyAlignment="1" applyProtection="1">
      <alignment horizontal="center" vertical="center"/>
    </xf>
    <xf numFmtId="0" fontId="13"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1"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19" fillId="5" borderId="0" xfId="0" applyFont="1" applyFill="1" applyAlignment="1">
      <alignment vertical="top" wrapText="1"/>
    </xf>
    <xf numFmtId="0" fontId="17"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protection locked="0"/>
    </xf>
    <xf numFmtId="0" fontId="18" fillId="0" borderId="0" xfId="0" applyFont="1" applyProtection="1"/>
    <xf numFmtId="0" fontId="17" fillId="2" borderId="1" xfId="0" applyFont="1" applyFill="1" applyBorder="1" applyAlignment="1" applyProtection="1">
      <alignment horizontal="center" vertical="center"/>
    </xf>
    <xf numFmtId="0" fontId="23" fillId="0" borderId="0" xfId="0" applyFont="1" applyProtection="1"/>
    <xf numFmtId="0" fontId="18" fillId="0" borderId="1" xfId="0" applyFont="1" applyBorder="1" applyAlignment="1" applyProtection="1">
      <alignment horizontal="left" vertical="center"/>
    </xf>
    <xf numFmtId="0" fontId="18" fillId="0" borderId="1" xfId="0" applyFont="1" applyBorder="1" applyAlignment="1" applyProtection="1">
      <alignment horizontal="center" vertical="center"/>
    </xf>
    <xf numFmtId="0" fontId="18" fillId="0" borderId="1" xfId="0" applyFont="1" applyBorder="1" applyProtection="1"/>
    <xf numFmtId="0" fontId="18" fillId="3" borderId="1" xfId="0" applyFont="1" applyFill="1" applyBorder="1" applyProtection="1"/>
    <xf numFmtId="0" fontId="18" fillId="0" borderId="7" xfId="0" applyFont="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164" fontId="17" fillId="0" borderId="9" xfId="0" applyNumberFormat="1" applyFont="1" applyFill="1" applyBorder="1" applyAlignment="1" applyProtection="1">
      <alignment horizontal="center" vertical="center"/>
    </xf>
    <xf numFmtId="164" fontId="17" fillId="0" borderId="7" xfId="0" applyNumberFormat="1" applyFont="1" applyFill="1" applyBorder="1" applyAlignment="1" applyProtection="1">
      <alignment horizontal="center" vertical="center"/>
    </xf>
    <xf numFmtId="164" fontId="17" fillId="15" borderId="7" xfId="0" applyNumberFormat="1" applyFont="1" applyFill="1" applyBorder="1" applyAlignment="1" applyProtection="1">
      <alignment horizontal="center" vertical="center"/>
    </xf>
    <xf numFmtId="164" fontId="18" fillId="0" borderId="7"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22" fillId="8" borderId="11"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17" fillId="0" borderId="13"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3" borderId="17"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17" xfId="0" applyFont="1" applyBorder="1" applyAlignment="1" applyProtection="1">
      <alignment horizontal="center" vertical="center" wrapText="1"/>
      <protection locked="0"/>
    </xf>
    <xf numFmtId="164" fontId="17" fillId="0" borderId="17" xfId="0" applyNumberFormat="1" applyFont="1" applyFill="1" applyBorder="1" applyAlignment="1" applyProtection="1">
      <alignment horizontal="center" vertical="center"/>
    </xf>
    <xf numFmtId="0" fontId="22" fillId="4" borderId="15"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top" wrapText="1"/>
    </xf>
    <xf numFmtId="0" fontId="18" fillId="0" borderId="0" xfId="0" applyFont="1" applyBorder="1" applyProtection="1"/>
    <xf numFmtId="0" fontId="18" fillId="3" borderId="0" xfId="0" applyFont="1" applyFill="1" applyBorder="1" applyProtection="1"/>
    <xf numFmtId="0" fontId="0" fillId="3" borderId="0" xfId="0" applyFill="1" applyBorder="1" applyProtection="1"/>
    <xf numFmtId="0" fontId="17" fillId="3" borderId="18" xfId="0" applyFont="1" applyFill="1" applyBorder="1" applyAlignment="1" applyProtection="1">
      <alignment horizontal="left" vertical="center" wrapText="1"/>
      <protection locked="0"/>
    </xf>
    <xf numFmtId="0" fontId="18" fillId="0" borderId="18" xfId="0" applyFont="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xf>
    <xf numFmtId="0" fontId="24" fillId="0" borderId="11"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1" fontId="17" fillId="15" borderId="23" xfId="0" applyNumberFormat="1" applyFont="1" applyFill="1" applyBorder="1" applyAlignment="1" applyProtection="1">
      <alignment horizontal="center" vertical="center"/>
    </xf>
    <xf numFmtId="1" fontId="17" fillId="15" borderId="24" xfId="0" applyNumberFormat="1" applyFont="1" applyFill="1" applyBorder="1" applyAlignment="1" applyProtection="1">
      <alignment horizontal="center" vertical="center"/>
    </xf>
    <xf numFmtId="1" fontId="17" fillId="15" borderId="25" xfId="0" applyNumberFormat="1" applyFont="1" applyFill="1" applyBorder="1" applyAlignment="1" applyProtection="1">
      <alignment horizontal="center" vertical="center"/>
    </xf>
    <xf numFmtId="0" fontId="4" fillId="0" borderId="7" xfId="0" applyFont="1" applyBorder="1" applyAlignment="1" applyProtection="1">
      <alignment horizontal="center" wrapText="1"/>
    </xf>
    <xf numFmtId="0" fontId="18" fillId="0" borderId="7" xfId="0" applyFont="1" applyBorder="1" applyProtection="1"/>
    <xf numFmtId="0" fontId="4" fillId="0" borderId="7" xfId="0" applyFont="1" applyBorder="1" applyProtection="1"/>
    <xf numFmtId="0" fontId="17" fillId="16" borderId="7" xfId="0" applyFont="1" applyFill="1" applyBorder="1" applyAlignment="1">
      <alignment horizontal="justify" vertical="center"/>
    </xf>
    <xf numFmtId="0" fontId="17" fillId="16" borderId="7" xfId="0" applyFont="1" applyFill="1" applyBorder="1" applyAlignment="1">
      <alignment horizontal="center" vertical="center"/>
    </xf>
    <xf numFmtId="0" fontId="0" fillId="0" borderId="0" xfId="0" applyAlignment="1">
      <alignment horizontal="center"/>
    </xf>
    <xf numFmtId="0" fontId="0" fillId="0" borderId="7" xfId="0" applyBorder="1" applyAlignment="1">
      <alignment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1" fillId="0" borderId="0" xfId="0" applyFont="1" applyAlignment="1" applyProtection="1">
      <alignment vertical="center"/>
      <protection locked="0"/>
    </xf>
    <xf numFmtId="0" fontId="21" fillId="17" borderId="27" xfId="0" applyFont="1" applyFill="1" applyBorder="1" applyAlignment="1" applyProtection="1">
      <alignment vertical="center"/>
      <protection locked="0"/>
    </xf>
    <xf numFmtId="0" fontId="21" fillId="17" borderId="28" xfId="0" applyFont="1" applyFill="1" applyBorder="1" applyAlignment="1" applyProtection="1">
      <alignment vertical="center"/>
      <protection locked="0"/>
    </xf>
    <xf numFmtId="0" fontId="24" fillId="0" borderId="17" xfId="0" applyFont="1" applyFill="1" applyBorder="1" applyAlignment="1" applyProtection="1">
      <alignment horizontal="left" vertical="center" wrapText="1"/>
      <protection locked="0"/>
    </xf>
    <xf numFmtId="0" fontId="17"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7" xfId="0" applyFont="1" applyBorder="1" applyAlignment="1" applyProtection="1">
      <alignment horizontal="center"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32" xfId="0" applyFont="1" applyBorder="1" applyAlignment="1">
      <alignment vertical="center" wrapText="1"/>
    </xf>
    <xf numFmtId="0" fontId="27" fillId="0" borderId="35" xfId="0" applyFont="1" applyBorder="1" applyAlignment="1">
      <alignment vertical="center" wrapText="1"/>
    </xf>
    <xf numFmtId="0" fontId="29" fillId="0" borderId="7" xfId="0" applyFont="1" applyBorder="1" applyAlignment="1">
      <alignment horizontal="left" wrapText="1"/>
    </xf>
    <xf numFmtId="0" fontId="18" fillId="0" borderId="7" xfId="0" applyFont="1" applyBorder="1" applyAlignment="1">
      <alignment horizontal="center" vertical="center" wrapText="1"/>
    </xf>
    <xf numFmtId="0" fontId="18" fillId="0" borderId="7" xfId="0" applyFont="1" applyBorder="1" applyAlignment="1">
      <alignment horizontal="justify" vertical="center" wrapText="1"/>
    </xf>
    <xf numFmtId="9" fontId="18" fillId="0" borderId="7" xfId="0" applyNumberFormat="1" applyFont="1" applyBorder="1" applyAlignment="1">
      <alignment horizontal="center" vertical="center" wrapText="1"/>
    </xf>
    <xf numFmtId="0" fontId="21" fillId="18" borderId="7" xfId="0" applyFont="1" applyFill="1" applyBorder="1" applyAlignment="1">
      <alignment horizontal="justify" vertical="center" wrapText="1"/>
    </xf>
    <xf numFmtId="0" fontId="17" fillId="16" borderId="7" xfId="0" applyFont="1" applyFill="1" applyBorder="1" applyAlignment="1">
      <alignment horizontal="center" vertical="center"/>
    </xf>
    <xf numFmtId="0" fontId="21" fillId="18" borderId="7" xfId="0" applyFont="1" applyFill="1" applyBorder="1" applyAlignment="1">
      <alignment horizontal="center" vertical="center" wrapText="1"/>
    </xf>
    <xf numFmtId="0" fontId="4" fillId="0" borderId="0" xfId="0" applyFont="1" applyAlignment="1" applyProtection="1">
      <alignment horizontal="justify" vertical="center" wrapText="1"/>
    </xf>
    <xf numFmtId="9" fontId="21" fillId="18" borderId="7" xfId="0" applyNumberFormat="1" applyFont="1" applyFill="1" applyBorder="1" applyAlignment="1">
      <alignment horizontal="center" vertical="center" wrapText="1"/>
    </xf>
    <xf numFmtId="0" fontId="18" fillId="3" borderId="7" xfId="0" applyFont="1" applyFill="1" applyBorder="1" applyAlignment="1" applyProtection="1">
      <alignment horizontal="justify" vertical="center" wrapText="1"/>
      <protection locked="0"/>
    </xf>
    <xf numFmtId="0" fontId="24" fillId="0" borderId="7" xfId="0" applyFont="1" applyBorder="1" applyAlignment="1" applyProtection="1">
      <alignment horizontal="justify" vertical="center" wrapText="1"/>
      <protection locked="0"/>
    </xf>
    <xf numFmtId="0" fontId="24" fillId="0" borderId="11" xfId="0" applyFont="1" applyBorder="1" applyAlignment="1">
      <alignment horizontal="justify" vertical="center" wrapText="1"/>
    </xf>
    <xf numFmtId="0" fontId="18" fillId="0" borderId="0" xfId="0" applyFont="1" applyAlignment="1">
      <alignment horizontal="justify" vertical="center" wrapText="1"/>
    </xf>
    <xf numFmtId="0" fontId="24" fillId="0" borderId="7" xfId="0" applyFont="1" applyBorder="1" applyAlignment="1">
      <alignment horizontal="justify" vertical="center" wrapText="1"/>
    </xf>
    <xf numFmtId="0" fontId="30" fillId="0" borderId="7" xfId="0" applyFont="1" applyBorder="1" applyAlignment="1">
      <alignment horizontal="justify" vertical="center" wrapText="1"/>
    </xf>
    <xf numFmtId="9" fontId="21" fillId="0" borderId="7" xfId="0" applyNumberFormat="1" applyFont="1" applyBorder="1" applyAlignment="1">
      <alignment horizontal="center" vertical="center" wrapText="1"/>
    </xf>
    <xf numFmtId="9" fontId="30" fillId="18" borderId="7" xfId="0" applyNumberFormat="1" applyFont="1" applyFill="1" applyBorder="1" applyAlignment="1">
      <alignment horizontal="center" vertical="center" wrapText="1"/>
    </xf>
    <xf numFmtId="9" fontId="18" fillId="0" borderId="0" xfId="0" applyNumberFormat="1" applyFont="1" applyAlignment="1">
      <alignment horizontal="center" vertical="center" wrapText="1"/>
    </xf>
    <xf numFmtId="0" fontId="18" fillId="19" borderId="36" xfId="0" applyFont="1" applyFill="1" applyBorder="1" applyAlignment="1">
      <alignment horizontal="left" vertical="top" wrapText="1"/>
    </xf>
    <xf numFmtId="9" fontId="21" fillId="18" borderId="36" xfId="0" applyNumberFormat="1" applyFont="1" applyFill="1" applyBorder="1" applyAlignment="1">
      <alignment horizontal="center" vertical="center" wrapText="1"/>
    </xf>
    <xf numFmtId="9" fontId="21" fillId="18" borderId="37" xfId="0" applyNumberFormat="1" applyFont="1" applyFill="1" applyBorder="1" applyAlignment="1">
      <alignment horizontal="center" vertical="center" wrapText="1"/>
    </xf>
    <xf numFmtId="10" fontId="21" fillId="18" borderId="7" xfId="0" applyNumberFormat="1" applyFont="1" applyFill="1" applyBorder="1" applyAlignment="1">
      <alignment horizontal="center" vertical="center" wrapText="1"/>
    </xf>
    <xf numFmtId="0" fontId="31" fillId="18" borderId="7" xfId="0" applyFont="1" applyFill="1" applyBorder="1" applyAlignment="1">
      <alignment horizontal="justify" vertical="center" wrapText="1"/>
    </xf>
    <xf numFmtId="0" fontId="4" fillId="0" borderId="0" xfId="0" applyFont="1" applyAlignment="1" applyProtection="1">
      <alignment horizontal="justify" vertical="top"/>
    </xf>
    <xf numFmtId="0" fontId="17" fillId="16" borderId="7" xfId="0" applyFont="1" applyFill="1" applyBorder="1" applyAlignment="1">
      <alignment horizontal="center" vertical="center"/>
    </xf>
    <xf numFmtId="0" fontId="17" fillId="3" borderId="8" xfId="0" applyFont="1" applyFill="1" applyBorder="1" applyAlignment="1" applyProtection="1">
      <alignment horizontal="center" vertical="center"/>
    </xf>
    <xf numFmtId="0" fontId="18" fillId="0" borderId="10" xfId="0" applyFont="1" applyBorder="1" applyAlignment="1"/>
    <xf numFmtId="0" fontId="22" fillId="8" borderId="11"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wrapText="1"/>
    </xf>
    <xf numFmtId="0" fontId="22" fillId="8" borderId="21" xfId="0" applyFont="1" applyFill="1" applyBorder="1" applyAlignment="1" applyProtection="1">
      <alignment horizontal="center" vertical="center" wrapText="1"/>
    </xf>
    <xf numFmtId="0" fontId="22" fillId="8" borderId="22" xfId="0" applyFont="1" applyFill="1" applyBorder="1" applyAlignment="1" applyProtection="1">
      <alignment horizontal="center" vertical="center" wrapText="1"/>
    </xf>
    <xf numFmtId="0" fontId="17" fillId="8" borderId="12"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8" borderId="11"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xf>
    <xf numFmtId="0" fontId="27" fillId="0" borderId="31"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cellXfs>
  <cellStyles count="13">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Normal 2" xfId="11" xr:uid="{00000000-0005-0000-0000-00000B000000}"/>
    <cellStyle name="Porcentaje 2" xfId="12" xr:uid="{00000000-0005-0000-0000-00000D000000}"/>
  </cellStyles>
  <dxfs count="4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12</xdr:col>
      <xdr:colOff>121675</xdr:colOff>
      <xdr:row>37</xdr:row>
      <xdr:rowOff>41276</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9</xdr:col>
      <xdr:colOff>3483610</xdr:colOff>
      <xdr:row>30</xdr:row>
      <xdr:rowOff>144780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454509</xdr:colOff>
      <xdr:row>27</xdr:row>
      <xdr:rowOff>600</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ORRALES/AppData/Local/Microsoft/Windows/Temporary%20Internet%20Files/Content.Outlook/4H0VZGUR/SDTSV%20-%20RiesgosyOportunidades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view="pageBreakPreview" topLeftCell="A3" zoomScale="83" zoomScaleNormal="83" zoomScaleSheetLayoutView="83" workbookViewId="0">
      <selection activeCell="C1" sqref="C1"/>
    </sheetView>
  </sheetViews>
  <sheetFormatPr baseColWidth="10" defaultColWidth="9.140625" defaultRowHeight="14.25" x14ac:dyDescent="0.2"/>
  <cols>
    <col min="1" max="1" width="4.85546875" style="5" customWidth="1"/>
    <col min="2" max="2" width="20.42578125" style="5" customWidth="1"/>
    <col min="3" max="3" width="33.5703125" style="6" customWidth="1"/>
    <col min="4" max="4" width="16.5703125" style="62" customWidth="1"/>
    <col min="5" max="5" width="22.140625" style="6" customWidth="1"/>
    <col min="6" max="6" width="14.85546875" style="6" customWidth="1"/>
    <col min="7" max="7" width="14.7109375" style="6" customWidth="1"/>
    <col min="8" max="8" width="15" style="6" customWidth="1"/>
    <col min="9" max="9" width="10.140625" style="6" customWidth="1"/>
    <col min="10" max="10" width="68.5703125" style="14" customWidth="1"/>
    <col min="11" max="11" width="17.28515625" style="3" bestFit="1" customWidth="1"/>
    <col min="12" max="12" width="47.42578125" style="3" customWidth="1"/>
    <col min="13" max="13" width="20.5703125" style="3" customWidth="1"/>
    <col min="14" max="14" width="87.5703125" style="3" customWidth="1"/>
    <col min="15" max="15" width="22.7109375" style="3" customWidth="1"/>
    <col min="16" max="16" width="80.28515625" style="3" customWidth="1"/>
    <col min="17" max="17" width="22.28515625" style="3" customWidth="1"/>
    <col min="18" max="18" width="76.140625" style="3" customWidth="1"/>
    <col min="19" max="19" width="21" style="3" customWidth="1"/>
    <col min="20" max="16384" width="9.140625" style="3"/>
  </cols>
  <sheetData>
    <row r="1" spans="1:19" ht="15" hidden="1" thickBot="1" x14ac:dyDescent="0.25"/>
    <row r="2" spans="1:19" s="4" customFormat="1" ht="15" hidden="1" thickBot="1" x14ac:dyDescent="0.25">
      <c r="A2" s="141" t="s">
        <v>90</v>
      </c>
      <c r="B2" s="142"/>
      <c r="C2" s="142"/>
      <c r="D2" s="142"/>
      <c r="E2" s="142"/>
      <c r="F2" s="142"/>
      <c r="G2" s="142"/>
      <c r="H2" s="142"/>
      <c r="I2" s="142"/>
      <c r="J2" s="142"/>
      <c r="K2" s="142"/>
      <c r="L2" s="87"/>
      <c r="M2" s="87"/>
      <c r="N2" s="87"/>
      <c r="O2" s="87"/>
      <c r="P2" s="87"/>
      <c r="Q2" s="87"/>
      <c r="R2" s="87"/>
      <c r="S2" s="87"/>
    </row>
    <row r="3" spans="1:19" ht="51" customHeight="1" x14ac:dyDescent="0.2">
      <c r="A3" s="147" t="s">
        <v>87</v>
      </c>
      <c r="B3" s="149" t="s">
        <v>124</v>
      </c>
      <c r="C3" s="149" t="s">
        <v>19</v>
      </c>
      <c r="D3" s="143" t="s">
        <v>114</v>
      </c>
      <c r="E3" s="143"/>
      <c r="F3" s="143" t="s">
        <v>59</v>
      </c>
      <c r="G3" s="64" t="s">
        <v>116</v>
      </c>
      <c r="H3" s="143" t="s">
        <v>60</v>
      </c>
      <c r="I3" s="143" t="s">
        <v>89</v>
      </c>
      <c r="J3" s="65" t="s">
        <v>61</v>
      </c>
      <c r="K3" s="145" t="s">
        <v>97</v>
      </c>
      <c r="L3" s="140" t="s">
        <v>125</v>
      </c>
      <c r="M3" s="140"/>
      <c r="N3" s="140" t="s">
        <v>126</v>
      </c>
      <c r="O3" s="140"/>
      <c r="P3" s="140" t="s">
        <v>127</v>
      </c>
      <c r="Q3" s="140"/>
      <c r="R3" s="140" t="s">
        <v>128</v>
      </c>
      <c r="S3" s="140"/>
    </row>
    <row r="4" spans="1:19" ht="70.5" customHeight="1" thickBot="1" x14ac:dyDescent="0.25">
      <c r="A4" s="148"/>
      <c r="B4" s="150"/>
      <c r="C4" s="150"/>
      <c r="D4" s="72" t="s">
        <v>115</v>
      </c>
      <c r="E4" s="72" t="s">
        <v>113</v>
      </c>
      <c r="F4" s="144"/>
      <c r="G4" s="72" t="s">
        <v>117</v>
      </c>
      <c r="H4" s="144"/>
      <c r="I4" s="144"/>
      <c r="J4" s="73" t="str">
        <f>Listas!V18</f>
        <v>(Requerido para los factores de riesgo &gt;=8, 
sugerido para factores de riesgo entre 5 y 8)</v>
      </c>
      <c r="K4" s="146"/>
      <c r="L4" s="91" t="s">
        <v>129</v>
      </c>
      <c r="M4" s="90" t="s">
        <v>130</v>
      </c>
      <c r="N4" s="121" t="s">
        <v>129</v>
      </c>
      <c r="O4" s="90" t="s">
        <v>130</v>
      </c>
      <c r="P4" s="121" t="s">
        <v>129</v>
      </c>
      <c r="Q4" s="90" t="s">
        <v>130</v>
      </c>
      <c r="R4" s="121" t="s">
        <v>129</v>
      </c>
      <c r="S4" s="90" t="s">
        <v>130</v>
      </c>
    </row>
    <row r="5" spans="1:19" ht="261" customHeight="1" x14ac:dyDescent="0.2">
      <c r="A5" s="67">
        <v>1</v>
      </c>
      <c r="B5" s="68" t="s">
        <v>183</v>
      </c>
      <c r="C5" s="69" t="s">
        <v>187</v>
      </c>
      <c r="D5" s="70"/>
      <c r="E5" s="55" t="s">
        <v>103</v>
      </c>
      <c r="F5" s="71">
        <v>1</v>
      </c>
      <c r="G5" s="55" t="s">
        <v>111</v>
      </c>
      <c r="H5" s="71">
        <v>4</v>
      </c>
      <c r="I5" s="60">
        <v>4</v>
      </c>
      <c r="J5" s="69" t="s">
        <v>224</v>
      </c>
      <c r="K5" s="84">
        <v>4</v>
      </c>
      <c r="L5" s="118" t="s">
        <v>241</v>
      </c>
      <c r="M5" s="117" t="s">
        <v>242</v>
      </c>
      <c r="N5" s="118" t="s">
        <v>243</v>
      </c>
      <c r="O5" s="117" t="s">
        <v>244</v>
      </c>
      <c r="P5" s="118" t="s">
        <v>245</v>
      </c>
      <c r="Q5" s="117" t="s">
        <v>246</v>
      </c>
      <c r="R5" s="118" t="s">
        <v>247</v>
      </c>
      <c r="S5" s="117" t="s">
        <v>248</v>
      </c>
    </row>
    <row r="6" spans="1:19" ht="281.25" customHeight="1" x14ac:dyDescent="0.2">
      <c r="A6" s="66">
        <f>A5+1</f>
        <v>2</v>
      </c>
      <c r="B6" s="56" t="s">
        <v>176</v>
      </c>
      <c r="C6" s="69" t="s">
        <v>188</v>
      </c>
      <c r="D6" s="55" t="s">
        <v>100</v>
      </c>
      <c r="E6" s="55" t="s">
        <v>105</v>
      </c>
      <c r="F6" s="71">
        <v>3</v>
      </c>
      <c r="G6" s="55" t="s">
        <v>111</v>
      </c>
      <c r="H6" s="59">
        <v>4</v>
      </c>
      <c r="I6" s="60">
        <f t="shared" ref="I6:I12" si="0">+H6*F6</f>
        <v>12</v>
      </c>
      <c r="J6" s="53" t="s">
        <v>233</v>
      </c>
      <c r="K6" s="84">
        <v>3</v>
      </c>
      <c r="L6" s="118" t="s">
        <v>254</v>
      </c>
      <c r="M6" s="124">
        <v>0.25</v>
      </c>
      <c r="N6" s="118" t="s">
        <v>255</v>
      </c>
      <c r="O6" s="124">
        <v>0.4</v>
      </c>
      <c r="P6" s="120" t="s">
        <v>256</v>
      </c>
      <c r="Q6" s="124">
        <f>75%*50%+100%*40%+0%*10%</f>
        <v>0.77500000000000002</v>
      </c>
      <c r="R6" s="120" t="s">
        <v>257</v>
      </c>
      <c r="S6" s="124">
        <v>1</v>
      </c>
    </row>
    <row r="7" spans="1:19" ht="409.6" customHeight="1" thickBot="1" x14ac:dyDescent="0.25">
      <c r="A7" s="66">
        <f>A6+1</f>
        <v>3</v>
      </c>
      <c r="B7" s="77" t="s">
        <v>176</v>
      </c>
      <c r="C7" s="69" t="s">
        <v>190</v>
      </c>
      <c r="D7" s="55" t="s">
        <v>100</v>
      </c>
      <c r="E7" s="55" t="s">
        <v>105</v>
      </c>
      <c r="F7" s="71">
        <v>3</v>
      </c>
      <c r="G7" s="55" t="s">
        <v>111</v>
      </c>
      <c r="H7" s="59">
        <v>4</v>
      </c>
      <c r="I7" s="60">
        <f t="shared" si="0"/>
        <v>12</v>
      </c>
      <c r="J7" s="53" t="s">
        <v>234</v>
      </c>
      <c r="K7" s="84">
        <f>'Calificacion Controles'!AD6</f>
        <v>0.79999999999999982</v>
      </c>
      <c r="L7" s="118" t="s">
        <v>262</v>
      </c>
      <c r="M7" s="124">
        <v>0.25</v>
      </c>
      <c r="N7" s="118" t="s">
        <v>263</v>
      </c>
      <c r="O7" s="124">
        <v>0.56000000000000005</v>
      </c>
      <c r="P7" s="118" t="s">
        <v>264</v>
      </c>
      <c r="Q7" s="131">
        <v>0.8</v>
      </c>
      <c r="R7" s="120" t="s">
        <v>265</v>
      </c>
      <c r="S7" s="124">
        <v>1</v>
      </c>
    </row>
    <row r="8" spans="1:19" ht="89.25" customHeight="1" x14ac:dyDescent="0.2">
      <c r="A8" s="66">
        <f t="shared" ref="A8:A21" si="1">A7+1</f>
        <v>4</v>
      </c>
      <c r="B8" s="56" t="s">
        <v>185</v>
      </c>
      <c r="C8" s="69" t="s">
        <v>191</v>
      </c>
      <c r="D8" s="55" t="s">
        <v>99</v>
      </c>
      <c r="E8" s="55" t="s">
        <v>192</v>
      </c>
      <c r="F8" s="71">
        <v>2</v>
      </c>
      <c r="G8" s="55" t="s">
        <v>111</v>
      </c>
      <c r="H8" s="59">
        <v>4</v>
      </c>
      <c r="I8" s="60">
        <f t="shared" si="0"/>
        <v>8</v>
      </c>
      <c r="J8" s="53" t="s">
        <v>229</v>
      </c>
      <c r="K8" s="84">
        <v>4</v>
      </c>
      <c r="L8" s="127" t="s">
        <v>272</v>
      </c>
      <c r="M8" s="124">
        <v>1</v>
      </c>
      <c r="N8" s="120" t="s">
        <v>273</v>
      </c>
      <c r="O8" s="124">
        <v>1</v>
      </c>
      <c r="P8" s="120" t="s">
        <v>274</v>
      </c>
      <c r="Q8" s="124">
        <v>1</v>
      </c>
      <c r="R8" s="120" t="s">
        <v>274</v>
      </c>
      <c r="S8" s="124">
        <v>1</v>
      </c>
    </row>
    <row r="9" spans="1:19" ht="237.75" customHeight="1" x14ac:dyDescent="0.2">
      <c r="A9" s="66">
        <v>5</v>
      </c>
      <c r="B9" s="56" t="s">
        <v>183</v>
      </c>
      <c r="C9" s="69" t="s">
        <v>194</v>
      </c>
      <c r="D9" s="55" t="s">
        <v>99</v>
      </c>
      <c r="E9" s="55" t="s">
        <v>192</v>
      </c>
      <c r="F9" s="71">
        <v>2</v>
      </c>
      <c r="G9" s="55" t="s">
        <v>111</v>
      </c>
      <c r="H9" s="59">
        <v>4</v>
      </c>
      <c r="I9" s="60">
        <f t="shared" si="0"/>
        <v>8</v>
      </c>
      <c r="J9" s="53" t="s">
        <v>225</v>
      </c>
      <c r="K9" s="84">
        <v>8</v>
      </c>
      <c r="L9" s="118" t="s">
        <v>296</v>
      </c>
      <c r="M9" s="119" t="s">
        <v>297</v>
      </c>
      <c r="N9" s="118" t="s">
        <v>296</v>
      </c>
      <c r="O9" s="119" t="s">
        <v>298</v>
      </c>
      <c r="P9" s="118" t="s">
        <v>296</v>
      </c>
      <c r="Q9" s="119" t="s">
        <v>299</v>
      </c>
      <c r="R9" s="118" t="s">
        <v>296</v>
      </c>
      <c r="S9" s="119" t="s">
        <v>300</v>
      </c>
    </row>
    <row r="10" spans="1:19" ht="237.75" customHeight="1" x14ac:dyDescent="0.2">
      <c r="A10" s="66">
        <f t="shared" si="1"/>
        <v>6</v>
      </c>
      <c r="B10" s="57" t="s">
        <v>182</v>
      </c>
      <c r="C10" s="69" t="s">
        <v>189</v>
      </c>
      <c r="D10" s="55" t="s">
        <v>100</v>
      </c>
      <c r="E10" s="55" t="s">
        <v>105</v>
      </c>
      <c r="F10" s="71">
        <v>2</v>
      </c>
      <c r="G10" s="55" t="s">
        <v>111</v>
      </c>
      <c r="H10" s="59">
        <v>4</v>
      </c>
      <c r="I10" s="60">
        <v>12</v>
      </c>
      <c r="J10" s="53" t="s">
        <v>237</v>
      </c>
      <c r="K10" s="84">
        <v>2</v>
      </c>
      <c r="L10" s="125" t="s">
        <v>301</v>
      </c>
      <c r="M10" s="131">
        <v>0.8</v>
      </c>
      <c r="N10" s="125" t="s">
        <v>301</v>
      </c>
      <c r="O10" s="131">
        <v>0.8</v>
      </c>
      <c r="P10" s="125" t="s">
        <v>302</v>
      </c>
      <c r="Q10" s="131">
        <v>0.8</v>
      </c>
      <c r="R10" s="130" t="s">
        <v>307</v>
      </c>
      <c r="S10" s="131">
        <v>0.8</v>
      </c>
    </row>
    <row r="11" spans="1:19" ht="122.25" customHeight="1" thickBot="1" x14ac:dyDescent="0.25">
      <c r="A11" s="66">
        <f t="shared" si="1"/>
        <v>7</v>
      </c>
      <c r="B11" s="56" t="s">
        <v>186</v>
      </c>
      <c r="C11" s="69" t="s">
        <v>189</v>
      </c>
      <c r="D11" s="55" t="s">
        <v>98</v>
      </c>
      <c r="E11" s="55" t="s">
        <v>103</v>
      </c>
      <c r="F11" s="71">
        <v>1</v>
      </c>
      <c r="G11" s="55" t="s">
        <v>111</v>
      </c>
      <c r="H11" s="59">
        <v>4</v>
      </c>
      <c r="I11" s="60">
        <v>0</v>
      </c>
      <c r="J11" s="53" t="s">
        <v>251</v>
      </c>
      <c r="K11" s="84">
        <f>'Calificacion Controles'!AD10</f>
        <v>0</v>
      </c>
      <c r="L11" s="118" t="s">
        <v>249</v>
      </c>
      <c r="M11" s="119">
        <v>0.25</v>
      </c>
      <c r="N11" s="126" t="s">
        <v>250</v>
      </c>
      <c r="O11" s="133">
        <v>0.5</v>
      </c>
      <c r="P11" s="126" t="s">
        <v>250</v>
      </c>
      <c r="Q11" s="119">
        <v>0.75</v>
      </c>
      <c r="R11" s="128" t="s">
        <v>252</v>
      </c>
      <c r="S11" s="119">
        <v>1</v>
      </c>
    </row>
    <row r="12" spans="1:19" ht="141.75" customHeight="1" x14ac:dyDescent="0.2">
      <c r="A12" s="66">
        <f t="shared" si="1"/>
        <v>8</v>
      </c>
      <c r="B12" s="56" t="s">
        <v>168</v>
      </c>
      <c r="C12" s="69" t="s">
        <v>190</v>
      </c>
      <c r="D12" s="55" t="s">
        <v>100</v>
      </c>
      <c r="E12" s="55" t="s">
        <v>105</v>
      </c>
      <c r="F12" s="71">
        <v>3</v>
      </c>
      <c r="G12" s="55" t="s">
        <v>111</v>
      </c>
      <c r="H12" s="59">
        <v>4</v>
      </c>
      <c r="I12" s="60">
        <f t="shared" si="0"/>
        <v>12</v>
      </c>
      <c r="J12" s="53" t="s">
        <v>232</v>
      </c>
      <c r="K12" s="84">
        <v>5</v>
      </c>
      <c r="L12" s="127" t="s">
        <v>271</v>
      </c>
      <c r="M12" s="132">
        <v>0.25</v>
      </c>
      <c r="N12" s="127" t="s">
        <v>270</v>
      </c>
      <c r="O12" s="124">
        <v>0.25</v>
      </c>
      <c r="P12" s="127" t="s">
        <v>270</v>
      </c>
      <c r="Q12" s="124">
        <v>0.25</v>
      </c>
      <c r="R12" s="127" t="s">
        <v>270</v>
      </c>
      <c r="S12" s="124">
        <v>0.25</v>
      </c>
    </row>
    <row r="13" spans="1:19" ht="246.75" customHeight="1" x14ac:dyDescent="0.2">
      <c r="A13" s="66">
        <f t="shared" si="1"/>
        <v>9</v>
      </c>
      <c r="B13" s="56" t="s">
        <v>164</v>
      </c>
      <c r="C13" s="69" t="s">
        <v>190</v>
      </c>
      <c r="D13" s="55" t="s">
        <v>99</v>
      </c>
      <c r="E13" s="55" t="s">
        <v>104</v>
      </c>
      <c r="F13" s="71">
        <v>2</v>
      </c>
      <c r="G13" s="55" t="s">
        <v>109</v>
      </c>
      <c r="H13" s="59">
        <v>2</v>
      </c>
      <c r="I13" s="60">
        <f>+H13*F13</f>
        <v>4</v>
      </c>
      <c r="J13" s="53" t="s">
        <v>238</v>
      </c>
      <c r="K13" s="84">
        <f>'Calificacion Controles'!AD12</f>
        <v>0.79999999999999982</v>
      </c>
      <c r="L13" s="118" t="s">
        <v>279</v>
      </c>
      <c r="M13" s="117" t="s">
        <v>280</v>
      </c>
      <c r="N13" s="118" t="s">
        <v>279</v>
      </c>
      <c r="O13" s="117" t="s">
        <v>281</v>
      </c>
      <c r="P13" s="120" t="s">
        <v>282</v>
      </c>
      <c r="Q13" s="122" t="s">
        <v>283</v>
      </c>
      <c r="R13" s="120" t="s">
        <v>284</v>
      </c>
      <c r="S13" s="122" t="s">
        <v>248</v>
      </c>
    </row>
    <row r="14" spans="1:19" ht="409.5" customHeight="1" x14ac:dyDescent="0.2">
      <c r="A14" s="66">
        <f t="shared" si="1"/>
        <v>10</v>
      </c>
      <c r="B14" s="56" t="s">
        <v>166</v>
      </c>
      <c r="C14" s="69" t="s">
        <v>193</v>
      </c>
      <c r="D14" s="55" t="s">
        <v>98</v>
      </c>
      <c r="E14" s="55" t="s">
        <v>103</v>
      </c>
      <c r="F14" s="71">
        <v>1</v>
      </c>
      <c r="G14" s="55" t="s">
        <v>111</v>
      </c>
      <c r="H14" s="59">
        <v>4</v>
      </c>
      <c r="I14" s="60">
        <f>+H14*F14</f>
        <v>4</v>
      </c>
      <c r="J14" s="53" t="s">
        <v>226</v>
      </c>
      <c r="K14" s="84">
        <v>1</v>
      </c>
      <c r="L14" s="120" t="s">
        <v>266</v>
      </c>
      <c r="M14" s="122">
        <v>25</v>
      </c>
      <c r="N14" s="120" t="s">
        <v>267</v>
      </c>
      <c r="O14" s="122">
        <v>50</v>
      </c>
      <c r="P14" s="120" t="s">
        <v>268</v>
      </c>
      <c r="Q14" s="122">
        <v>75</v>
      </c>
      <c r="R14" s="120" t="s">
        <v>269</v>
      </c>
      <c r="S14" s="122">
        <v>100</v>
      </c>
    </row>
    <row r="15" spans="1:19" ht="319.5" customHeight="1" x14ac:dyDescent="0.2">
      <c r="A15" s="66">
        <f t="shared" si="1"/>
        <v>11</v>
      </c>
      <c r="B15" s="56" t="s">
        <v>169</v>
      </c>
      <c r="C15" s="69" t="s">
        <v>190</v>
      </c>
      <c r="D15" s="55" t="s">
        <v>100</v>
      </c>
      <c r="E15" s="55" t="s">
        <v>105</v>
      </c>
      <c r="F15" s="71">
        <v>3</v>
      </c>
      <c r="G15" s="55" t="s">
        <v>111</v>
      </c>
      <c r="H15" s="59">
        <v>4</v>
      </c>
      <c r="I15" s="60">
        <f>+H15*F15</f>
        <v>12</v>
      </c>
      <c r="J15" s="53" t="s">
        <v>227</v>
      </c>
      <c r="K15" s="84">
        <v>3</v>
      </c>
      <c r="L15" s="134" t="s">
        <v>308</v>
      </c>
      <c r="M15" s="135">
        <v>0.25</v>
      </c>
      <c r="N15" s="134" t="s">
        <v>309</v>
      </c>
      <c r="O15" s="135">
        <v>0.5</v>
      </c>
      <c r="P15" s="134" t="s">
        <v>310</v>
      </c>
      <c r="Q15" s="135">
        <v>0.75</v>
      </c>
      <c r="R15" s="134" t="s">
        <v>311</v>
      </c>
      <c r="S15" s="136">
        <v>1</v>
      </c>
    </row>
    <row r="16" spans="1:19" ht="189" customHeight="1" x14ac:dyDescent="0.2">
      <c r="A16" s="66">
        <f t="shared" si="1"/>
        <v>12</v>
      </c>
      <c r="B16" s="56" t="s">
        <v>171</v>
      </c>
      <c r="C16" s="69" t="s">
        <v>190</v>
      </c>
      <c r="D16" s="55" t="s">
        <v>100</v>
      </c>
      <c r="E16" s="55" t="s">
        <v>105</v>
      </c>
      <c r="F16" s="71">
        <v>3</v>
      </c>
      <c r="G16" s="55" t="s">
        <v>110</v>
      </c>
      <c r="H16" s="59">
        <v>3</v>
      </c>
      <c r="I16" s="60">
        <f t="shared" ref="I16:I21" si="2">+H16*F16</f>
        <v>9</v>
      </c>
      <c r="J16" s="53" t="s">
        <v>230</v>
      </c>
      <c r="K16" s="84">
        <v>1</v>
      </c>
      <c r="L16" s="118" t="s">
        <v>285</v>
      </c>
      <c r="M16" s="119" t="s">
        <v>286</v>
      </c>
      <c r="N16" s="118" t="s">
        <v>287</v>
      </c>
      <c r="O16" s="119" t="s">
        <v>288</v>
      </c>
      <c r="P16" s="118" t="s">
        <v>289</v>
      </c>
      <c r="Q16" s="119" t="s">
        <v>290</v>
      </c>
      <c r="R16" s="118" t="s">
        <v>291</v>
      </c>
      <c r="S16" s="119" t="s">
        <v>292</v>
      </c>
    </row>
    <row r="17" spans="1:19" ht="390" customHeight="1" thickBot="1" x14ac:dyDescent="0.25">
      <c r="A17" s="66">
        <f t="shared" si="1"/>
        <v>13</v>
      </c>
      <c r="B17" s="56" t="s">
        <v>176</v>
      </c>
      <c r="C17" s="54" t="s">
        <v>189</v>
      </c>
      <c r="D17" s="55" t="s">
        <v>100</v>
      </c>
      <c r="E17" s="55" t="s">
        <v>105</v>
      </c>
      <c r="F17" s="71">
        <v>3</v>
      </c>
      <c r="G17" s="55" t="s">
        <v>111</v>
      </c>
      <c r="H17" s="59">
        <v>4</v>
      </c>
      <c r="I17" s="60">
        <f>+H17*F17</f>
        <v>12</v>
      </c>
      <c r="J17" s="123" t="s">
        <v>240</v>
      </c>
      <c r="K17" s="84">
        <v>3</v>
      </c>
      <c r="L17" s="118" t="s">
        <v>258</v>
      </c>
      <c r="M17" s="124">
        <v>0.25</v>
      </c>
      <c r="N17" s="118" t="s">
        <v>259</v>
      </c>
      <c r="O17" s="124">
        <v>0.5</v>
      </c>
      <c r="P17" s="118" t="s">
        <v>260</v>
      </c>
      <c r="Q17" s="124">
        <v>0.75</v>
      </c>
      <c r="R17" s="118" t="s">
        <v>261</v>
      </c>
      <c r="S17" s="124">
        <v>1</v>
      </c>
    </row>
    <row r="18" spans="1:19" ht="198" customHeight="1" x14ac:dyDescent="0.2">
      <c r="A18" s="66">
        <f>A17+1</f>
        <v>14</v>
      </c>
      <c r="B18" s="77" t="s">
        <v>172</v>
      </c>
      <c r="C18" s="69" t="s">
        <v>190</v>
      </c>
      <c r="D18" s="78" t="s">
        <v>100</v>
      </c>
      <c r="E18" s="55" t="s">
        <v>105</v>
      </c>
      <c r="F18" s="71">
        <v>3</v>
      </c>
      <c r="G18" s="55" t="s">
        <v>110</v>
      </c>
      <c r="H18" s="59">
        <v>3</v>
      </c>
      <c r="I18" s="60">
        <f t="shared" si="2"/>
        <v>9</v>
      </c>
      <c r="J18" s="53" t="s">
        <v>236</v>
      </c>
      <c r="K18" s="84">
        <v>1</v>
      </c>
      <c r="L18" s="127" t="s">
        <v>293</v>
      </c>
      <c r="M18" s="124">
        <v>0.25</v>
      </c>
      <c r="N18" s="120" t="s">
        <v>294</v>
      </c>
      <c r="O18" s="124">
        <v>0.5</v>
      </c>
      <c r="P18" s="120" t="s">
        <v>295</v>
      </c>
      <c r="Q18" s="124">
        <v>0.75</v>
      </c>
      <c r="R18" s="118" t="s">
        <v>253</v>
      </c>
      <c r="S18" s="124">
        <v>1</v>
      </c>
    </row>
    <row r="19" spans="1:19" ht="256.5" customHeight="1" x14ac:dyDescent="0.2">
      <c r="A19" s="66">
        <f t="shared" si="1"/>
        <v>15</v>
      </c>
      <c r="B19" s="77" t="s">
        <v>173</v>
      </c>
      <c r="C19" s="69" t="s">
        <v>190</v>
      </c>
      <c r="D19" s="78" t="s">
        <v>100</v>
      </c>
      <c r="E19" s="55" t="s">
        <v>105</v>
      </c>
      <c r="F19" s="71">
        <v>3</v>
      </c>
      <c r="G19" s="55" t="s">
        <v>110</v>
      </c>
      <c r="H19" s="59">
        <v>3</v>
      </c>
      <c r="I19" s="60">
        <f t="shared" si="2"/>
        <v>9</v>
      </c>
      <c r="J19" s="53" t="s">
        <v>235</v>
      </c>
      <c r="K19" s="84">
        <v>4</v>
      </c>
      <c r="L19" s="138" t="s">
        <v>312</v>
      </c>
      <c r="M19" s="124">
        <v>0.25</v>
      </c>
      <c r="N19" s="138" t="s">
        <v>315</v>
      </c>
      <c r="O19" s="124">
        <v>0.5</v>
      </c>
      <c r="P19" s="138" t="s">
        <v>314</v>
      </c>
      <c r="Q19" s="137">
        <v>0.75</v>
      </c>
      <c r="R19" s="138" t="s">
        <v>313</v>
      </c>
      <c r="S19" s="137">
        <v>1</v>
      </c>
    </row>
    <row r="20" spans="1:19" ht="221.25" customHeight="1" x14ac:dyDescent="0.2">
      <c r="A20" s="66">
        <f t="shared" si="1"/>
        <v>16</v>
      </c>
      <c r="B20" s="77" t="s">
        <v>177</v>
      </c>
      <c r="C20" s="69" t="s">
        <v>190</v>
      </c>
      <c r="D20" s="78" t="s">
        <v>100</v>
      </c>
      <c r="E20" s="55" t="s">
        <v>105</v>
      </c>
      <c r="F20" s="71">
        <v>3</v>
      </c>
      <c r="G20" s="55" t="s">
        <v>110</v>
      </c>
      <c r="H20" s="59">
        <v>3</v>
      </c>
      <c r="I20" s="60">
        <f t="shared" si="2"/>
        <v>9</v>
      </c>
      <c r="J20" s="54" t="s">
        <v>231</v>
      </c>
      <c r="K20" s="84">
        <v>4</v>
      </c>
      <c r="L20" s="120" t="s">
        <v>303</v>
      </c>
      <c r="M20" s="124">
        <v>0.25</v>
      </c>
      <c r="N20" s="120" t="s">
        <v>304</v>
      </c>
      <c r="O20" s="124">
        <v>0.5</v>
      </c>
      <c r="P20" s="120" t="s">
        <v>305</v>
      </c>
      <c r="Q20" s="124">
        <v>0.75</v>
      </c>
      <c r="R20" s="118" t="s">
        <v>306</v>
      </c>
      <c r="S20" s="124">
        <v>1</v>
      </c>
    </row>
    <row r="21" spans="1:19" ht="359.25" customHeight="1" thickBot="1" x14ac:dyDescent="0.25">
      <c r="A21" s="66">
        <f t="shared" si="1"/>
        <v>17</v>
      </c>
      <c r="B21" s="56" t="s">
        <v>175</v>
      </c>
      <c r="C21" s="69" t="s">
        <v>190</v>
      </c>
      <c r="D21" s="78" t="s">
        <v>100</v>
      </c>
      <c r="E21" s="55" t="s">
        <v>105</v>
      </c>
      <c r="F21" s="71">
        <v>3</v>
      </c>
      <c r="G21" s="55" t="s">
        <v>110</v>
      </c>
      <c r="H21" s="59">
        <v>3</v>
      </c>
      <c r="I21" s="60">
        <f t="shared" si="2"/>
        <v>9</v>
      </c>
      <c r="J21" s="107" t="s">
        <v>228</v>
      </c>
      <c r="K21" s="84">
        <f>'Calificacion Controles'!AD20</f>
        <v>0</v>
      </c>
      <c r="L21" s="126" t="s">
        <v>275</v>
      </c>
      <c r="M21" s="119">
        <v>0.25</v>
      </c>
      <c r="N21" s="118" t="s">
        <v>276</v>
      </c>
      <c r="O21" s="119">
        <v>0.5</v>
      </c>
      <c r="P21" s="126" t="s">
        <v>277</v>
      </c>
      <c r="Q21" s="119">
        <v>0.75</v>
      </c>
      <c r="R21" s="129" t="s">
        <v>278</v>
      </c>
      <c r="S21" s="119">
        <v>1</v>
      </c>
    </row>
    <row r="22" spans="1:19" ht="96" customHeight="1" thickBot="1" x14ac:dyDescent="0.25">
      <c r="A22" s="108"/>
      <c r="B22" s="109"/>
      <c r="C22" s="110"/>
      <c r="D22" s="55"/>
      <c r="E22" s="61"/>
      <c r="F22" s="59"/>
      <c r="G22" s="55"/>
      <c r="H22" s="59"/>
      <c r="I22" s="60"/>
      <c r="J22" s="81"/>
      <c r="K22" s="85"/>
      <c r="L22" s="81"/>
      <c r="M22" s="88"/>
      <c r="N22" s="89"/>
      <c r="O22" s="89"/>
      <c r="P22" s="89"/>
      <c r="Q22" s="89"/>
      <c r="R22" s="116"/>
      <c r="S22" s="89"/>
    </row>
    <row r="23" spans="1:19" ht="55.5" customHeight="1" thickBot="1" x14ac:dyDescent="0.25">
      <c r="A23" s="108"/>
      <c r="B23" s="56"/>
      <c r="C23" s="54"/>
      <c r="D23" s="55"/>
      <c r="E23" s="61"/>
      <c r="F23" s="59"/>
      <c r="G23" s="55"/>
      <c r="H23" s="79"/>
      <c r="I23" s="80"/>
      <c r="J23" s="82"/>
      <c r="K23" s="86"/>
      <c r="L23" s="81"/>
      <c r="M23" s="88"/>
      <c r="N23" s="89"/>
      <c r="O23" s="89"/>
      <c r="P23" s="89"/>
      <c r="Q23" s="89"/>
      <c r="R23" s="116"/>
      <c r="S23" s="89"/>
    </row>
    <row r="24" spans="1:19" ht="55.5" customHeight="1" x14ac:dyDescent="0.2">
      <c r="A24" s="66"/>
      <c r="B24" s="56"/>
      <c r="C24" s="69"/>
      <c r="D24" s="55"/>
      <c r="E24" s="61"/>
      <c r="F24" s="59"/>
      <c r="G24" s="55"/>
      <c r="H24" s="59"/>
      <c r="I24" s="60"/>
      <c r="J24" s="83"/>
      <c r="K24" s="85"/>
      <c r="L24" s="81"/>
      <c r="M24" s="88"/>
      <c r="N24" s="89"/>
      <c r="O24" s="89"/>
      <c r="P24" s="89"/>
      <c r="Q24" s="89"/>
      <c r="R24" s="89"/>
      <c r="S24" s="89"/>
    </row>
    <row r="25" spans="1:19" ht="116.1" customHeight="1" x14ac:dyDescent="0.2">
      <c r="A25" s="3"/>
      <c r="B25" s="3"/>
      <c r="C25" s="3"/>
      <c r="D25" s="3"/>
      <c r="E25" s="3"/>
      <c r="F25" s="3"/>
      <c r="G25" s="3"/>
      <c r="H25" s="3"/>
      <c r="I25" s="3"/>
      <c r="J25" s="3"/>
    </row>
    <row r="26" spans="1:19" ht="14.25" customHeight="1" x14ac:dyDescent="0.2">
      <c r="A26" s="3"/>
      <c r="B26" s="3"/>
      <c r="C26" s="3"/>
      <c r="D26" s="3"/>
      <c r="E26" s="3"/>
      <c r="F26" s="3"/>
      <c r="G26" s="3"/>
      <c r="H26" s="3"/>
      <c r="I26" s="3"/>
      <c r="J26" s="3"/>
    </row>
    <row r="27" spans="1:19" ht="183" customHeight="1" x14ac:dyDescent="0.2">
      <c r="A27" s="3"/>
      <c r="B27" s="3"/>
      <c r="C27" s="43" t="s">
        <v>88</v>
      </c>
      <c r="D27" s="3"/>
      <c r="E27" s="3"/>
      <c r="F27" s="3"/>
      <c r="G27" s="3"/>
      <c r="H27" s="3"/>
      <c r="I27" s="3"/>
      <c r="J27" s="139" t="s">
        <v>239</v>
      </c>
    </row>
    <row r="28" spans="1:19" ht="14.25" customHeight="1" x14ac:dyDescent="0.2">
      <c r="A28" s="3"/>
      <c r="B28" s="3"/>
      <c r="C28" s="3"/>
      <c r="D28" s="3"/>
      <c r="E28" s="3"/>
      <c r="F28" s="3" t="str">
        <f>IF($D28="","",AVERAGE(VLOOKUP($D28,Listas!$K$1:$S$6,9,0),(VLOOKUP($E28,Listas!$L$1:$S$6,8,0))))</f>
        <v/>
      </c>
      <c r="G28" s="3"/>
      <c r="H28" s="3" t="str">
        <f>IF($G28="","",(AVERAGE(VLOOKUP($G28,Listas!$M$1:$S$6,7,0))))</f>
        <v/>
      </c>
      <c r="I28" s="3" t="str">
        <f t="shared" ref="I28:I43" si="3">IF($D28="","",$F28*$H28)</f>
        <v/>
      </c>
      <c r="J28" s="3"/>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3"/>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3"/>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3"/>
        <v/>
      </c>
      <c r="J31" s="3"/>
    </row>
    <row r="32" spans="1:19" ht="14.25" customHeight="1" x14ac:dyDescent="0.2">
      <c r="A32" s="28"/>
      <c r="B32" s="26"/>
      <c r="C32" s="26"/>
      <c r="D32" s="63"/>
      <c r="E32" s="29"/>
      <c r="F32" s="27" t="str">
        <f>IF($D32="","",AVERAGE(VLOOKUP($D32,Listas!$K$1:$S$6,9,0),(VLOOKUP($E32,Listas!$L$1:$S$6,8,0))))</f>
        <v/>
      </c>
      <c r="G32" s="29"/>
      <c r="H32" s="58" t="str">
        <f>IF($G32="","",(AVERAGE(VLOOKUP($G32,Listas!$M$1:$S$6,7,0))))</f>
        <v/>
      </c>
      <c r="I32" s="30" t="str">
        <f t="shared" si="3"/>
        <v/>
      </c>
      <c r="J32" s="31"/>
      <c r="K32" s="32"/>
    </row>
    <row r="33" spans="1:11" ht="14.25" customHeight="1" x14ac:dyDescent="0.2">
      <c r="A33" s="28"/>
      <c r="B33" s="26"/>
      <c r="C33" s="26"/>
      <c r="D33" s="63"/>
      <c r="E33" s="29"/>
      <c r="F33" s="27" t="str">
        <f>IF($D33="","",AVERAGE(VLOOKUP($D33,Listas!$K$1:$S$6,9,0),(VLOOKUP($E33,Listas!$L$1:$S$6,8,0))))</f>
        <v/>
      </c>
      <c r="G33" s="29"/>
      <c r="H33" s="58" t="str">
        <f>IF($G33="","",(AVERAGE(VLOOKUP($G33,Listas!$M$1:$S$6,7,0))))</f>
        <v/>
      </c>
      <c r="I33" s="30" t="str">
        <f t="shared" si="3"/>
        <v/>
      </c>
      <c r="J33" s="31"/>
      <c r="K33" s="32"/>
    </row>
    <row r="34" spans="1:11" ht="14.25" customHeight="1" x14ac:dyDescent="0.2">
      <c r="A34" s="28"/>
      <c r="B34" s="26"/>
      <c r="C34" s="26"/>
      <c r="D34" s="63"/>
      <c r="E34" s="29"/>
      <c r="F34" s="27" t="str">
        <f>IF($D34="","",AVERAGE(VLOOKUP($D34,Listas!$K$1:$S$6,9,0),(VLOOKUP($E34,Listas!$L$1:$S$6,8,0))))</f>
        <v/>
      </c>
      <c r="G34" s="29"/>
      <c r="H34" s="58" t="str">
        <f>IF($G34="","",(AVERAGE(VLOOKUP($G34,Listas!$M$1:$S$6,7,0))))</f>
        <v/>
      </c>
      <c r="I34" s="30" t="str">
        <f t="shared" si="3"/>
        <v/>
      </c>
      <c r="J34" s="31"/>
      <c r="K34" s="32"/>
    </row>
    <row r="35" spans="1:11" ht="14.25" customHeight="1" x14ac:dyDescent="0.2">
      <c r="A35" s="28"/>
      <c r="B35" s="26"/>
      <c r="C35" s="26"/>
      <c r="D35" s="63"/>
      <c r="E35" s="29"/>
      <c r="F35" s="27" t="str">
        <f>IF($D35="","",AVERAGE(VLOOKUP($D35,Listas!$K$1:$S$6,9,0),(VLOOKUP($E35,Listas!$L$1:$S$6,8,0))))</f>
        <v/>
      </c>
      <c r="G35" s="29"/>
      <c r="H35" s="58" t="str">
        <f>IF($G35="","",(AVERAGE(VLOOKUP($G35,Listas!$M$1:$S$6,7,0))))</f>
        <v/>
      </c>
      <c r="I35" s="30" t="str">
        <f t="shared" si="3"/>
        <v/>
      </c>
      <c r="J35" s="31"/>
      <c r="K35" s="32"/>
    </row>
    <row r="36" spans="1:11" ht="14.25" customHeight="1" x14ac:dyDescent="0.2">
      <c r="A36" s="28"/>
      <c r="B36" s="26"/>
      <c r="C36" s="26"/>
      <c r="D36" s="63"/>
      <c r="E36" s="29"/>
      <c r="F36" s="27" t="str">
        <f>IF($D36="","",AVERAGE(VLOOKUP($D36,Listas!$K$1:$S$6,9,0),(VLOOKUP($E36,Listas!$L$1:$S$6,8,0))))</f>
        <v/>
      </c>
      <c r="G36" s="29"/>
      <c r="H36" s="58" t="str">
        <f>IF($G36="","",(AVERAGE(VLOOKUP($G36,Listas!$M$1:$S$6,7,0))))</f>
        <v/>
      </c>
      <c r="I36" s="30" t="str">
        <f t="shared" si="3"/>
        <v/>
      </c>
      <c r="J36" s="31"/>
      <c r="K36" s="32"/>
    </row>
    <row r="37" spans="1:11" ht="14.25" customHeight="1" x14ac:dyDescent="0.2">
      <c r="A37" s="28"/>
      <c r="B37" s="26"/>
      <c r="C37" s="26"/>
      <c r="D37" s="63"/>
      <c r="E37" s="29"/>
      <c r="F37" s="27" t="str">
        <f>IF($D37="","",AVERAGE(VLOOKUP($D37,Listas!$K$1:$S$6,9,0),(VLOOKUP($E37,Listas!$L$1:$S$6,8,0))))</f>
        <v/>
      </c>
      <c r="G37" s="29"/>
      <c r="H37" s="58" t="str">
        <f>IF($G37="","",(AVERAGE(VLOOKUP($G37,Listas!$M$1:$S$6,7,0))))</f>
        <v/>
      </c>
      <c r="I37" s="30" t="str">
        <f t="shared" si="3"/>
        <v/>
      </c>
      <c r="J37" s="31"/>
      <c r="K37" s="32"/>
    </row>
    <row r="38" spans="1:11" ht="14.25" customHeight="1" x14ac:dyDescent="0.2">
      <c r="A38" s="3"/>
      <c r="B38" s="3"/>
      <c r="C38" s="3"/>
      <c r="D38" s="3"/>
      <c r="E38" s="3"/>
      <c r="F38" s="3" t="str">
        <f>IF($D38="","",AVERAGE(VLOOKUP($D38,Listas!$K$1:$S$6,9,0),(VLOOKUP($E38,Listas!$L$1:$S$6,8,0))))</f>
        <v/>
      </c>
      <c r="G38" s="3"/>
      <c r="H38" s="3" t="str">
        <f>IF($G38="","",(AVERAGE(VLOOKUP($G38,Listas!$M$1:$S$6,7,0))))</f>
        <v/>
      </c>
      <c r="I38" s="3" t="str">
        <f t="shared" si="3"/>
        <v/>
      </c>
      <c r="J38" s="3"/>
    </row>
    <row r="39" spans="1:11" ht="14.25" customHeight="1" x14ac:dyDescent="0.2">
      <c r="A39" s="3"/>
      <c r="B39" s="3"/>
      <c r="C39" s="3"/>
      <c r="D39" s="3"/>
      <c r="E39" s="3"/>
      <c r="F39" s="3" t="str">
        <f>IF($D39="","",AVERAGE(VLOOKUP($D39,Listas!$K$1:$S$6,9,0),(VLOOKUP($E39,Listas!$L$1:$S$6,8,0))))</f>
        <v/>
      </c>
      <c r="G39" s="3"/>
      <c r="H39" s="3" t="str">
        <f>IF($G39="","",(AVERAGE(VLOOKUP($G39,Listas!$M$1:$S$6,7,0))))</f>
        <v/>
      </c>
      <c r="I39" s="3" t="str">
        <f t="shared" si="3"/>
        <v/>
      </c>
      <c r="J39" s="3"/>
    </row>
    <row r="40" spans="1:11" ht="14.25" customHeight="1" x14ac:dyDescent="0.2">
      <c r="A40" s="3"/>
      <c r="B40" s="3"/>
      <c r="C40" s="3"/>
      <c r="D40" s="3"/>
      <c r="E40" s="3"/>
      <c r="F40" s="3" t="str">
        <f>IF($D40="","",AVERAGE(VLOOKUP($D40,Listas!$K$1:$S$6,9,0),(VLOOKUP($E40,Listas!$L$1:$S$6,8,0))))</f>
        <v/>
      </c>
      <c r="G40" s="3"/>
      <c r="H40" s="3" t="str">
        <f>IF($G40="","",(AVERAGE(VLOOKUP($G40,Listas!$M$1:$S$6,7,0))))</f>
        <v/>
      </c>
      <c r="I40" s="3" t="str">
        <f t="shared" si="3"/>
        <v/>
      </c>
      <c r="J40" s="3"/>
    </row>
    <row r="41" spans="1:11" ht="14.25" customHeight="1" x14ac:dyDescent="0.2">
      <c r="A41" s="3"/>
      <c r="B41" s="3"/>
      <c r="C41" s="3"/>
      <c r="D41" s="3"/>
      <c r="E41" s="3"/>
      <c r="F41" s="3" t="str">
        <f>IF($D41="","",AVERAGE(VLOOKUP($D41,Listas!$K$1:$S$6,9,0),(VLOOKUP($E41,Listas!$L$1:$S$6,8,0))))</f>
        <v/>
      </c>
      <c r="G41" s="3"/>
      <c r="H41" s="3" t="str">
        <f>IF($G41="","",(AVERAGE(VLOOKUP($G41,Listas!$M$1:$S$6,7,0))))</f>
        <v/>
      </c>
      <c r="I41" s="3" t="str">
        <f t="shared" si="3"/>
        <v/>
      </c>
      <c r="J41" s="3"/>
    </row>
    <row r="42" spans="1:11" ht="14.25" customHeight="1" x14ac:dyDescent="0.2">
      <c r="A42" s="3"/>
      <c r="B42" s="3"/>
      <c r="C42" s="3"/>
      <c r="D42" s="3"/>
      <c r="E42" s="3"/>
      <c r="F42" s="3" t="str">
        <f>IF($D42="","",AVERAGE(VLOOKUP($D42,Listas!$K$1:$S$6,9,0),(VLOOKUP($E42,Listas!$L$1:$S$6,8,0))))</f>
        <v/>
      </c>
      <c r="G42" s="3"/>
      <c r="H42" s="3" t="str">
        <f>IF($G42="","",(AVERAGE(VLOOKUP($G42,Listas!$M$1:$S$6,7,0))))</f>
        <v/>
      </c>
      <c r="I42" s="3" t="str">
        <f t="shared" si="3"/>
        <v/>
      </c>
      <c r="J42" s="3"/>
    </row>
    <row r="43" spans="1:11" ht="14.25" customHeight="1" x14ac:dyDescent="0.2">
      <c r="A43" s="3"/>
      <c r="B43" s="3"/>
      <c r="C43" s="3"/>
      <c r="D43" s="3"/>
      <c r="E43" s="3"/>
      <c r="F43" s="3" t="str">
        <f>IF($D43="","",AVERAGE(VLOOKUP($D43,Listas!$K$1:$S$6,9,0),(VLOOKUP($E43,Listas!$L$1:$S$6,8,0))))</f>
        <v/>
      </c>
      <c r="G43" s="3"/>
      <c r="H43" s="3" t="str">
        <f>IF($G43="","",(AVERAGE(VLOOKUP($G43,Listas!$M$1:$S$6,7,0))))</f>
        <v/>
      </c>
      <c r="I43" s="3" t="str">
        <f t="shared" si="3"/>
        <v/>
      </c>
      <c r="J43" s="3"/>
    </row>
    <row r="44" spans="1:11" ht="14.25" customHeight="1" x14ac:dyDescent="0.2">
      <c r="A44" s="3"/>
      <c r="B44" s="3"/>
      <c r="C44" s="3"/>
      <c r="D44" s="3"/>
      <c r="E44" s="3"/>
      <c r="F44" s="3" t="str">
        <f>IF($D44="","",AVERAGE(VLOOKUP($D44,Listas!$K$1:$S$6,9,0),(VLOOKUP($E44,Listas!$L$1:$S$6,8,0))))</f>
        <v/>
      </c>
      <c r="G44" s="3"/>
      <c r="H44" s="3" t="str">
        <f>IF($G44="","",(AVERAGE(VLOOKUP($G44,Listas!$M$1:$S$6,7,0))))</f>
        <v/>
      </c>
      <c r="I44" s="3" t="str">
        <f t="shared" ref="I44:I75" si="4">IF($D44="","",$F44*$H44)</f>
        <v/>
      </c>
      <c r="J44" s="3"/>
    </row>
    <row r="45" spans="1:11" ht="14.25" customHeight="1" x14ac:dyDescent="0.2">
      <c r="A45" s="3"/>
      <c r="B45" s="3"/>
      <c r="C45" s="3"/>
      <c r="D45" s="3"/>
      <c r="E45" s="3"/>
      <c r="F45" s="3" t="str">
        <f>IF($D45="","",AVERAGE(VLOOKUP($D45,Listas!$K$1:$S$6,9,0),(VLOOKUP($E45,Listas!$L$1:$S$6,8,0))))</f>
        <v/>
      </c>
      <c r="G45" s="3"/>
      <c r="H45" s="3" t="str">
        <f>IF($G45="","",(AVERAGE(VLOOKUP($G45,Listas!$M$1:$S$6,7,0))))</f>
        <v/>
      </c>
      <c r="I45" s="3" t="str">
        <f t="shared" si="4"/>
        <v/>
      </c>
      <c r="J45" s="3"/>
    </row>
    <row r="46" spans="1:11" ht="14.25" customHeight="1" x14ac:dyDescent="0.2">
      <c r="A46" s="3"/>
      <c r="B46" s="3"/>
      <c r="C46" s="3"/>
      <c r="D46" s="3"/>
      <c r="E46" s="3"/>
      <c r="F46" s="3" t="str">
        <f>IF($D46="","",AVERAGE(VLOOKUP($D46,Listas!$K$1:$S$6,9,0),(VLOOKUP($E46,Listas!$L$1:$S$6,8,0))))</f>
        <v/>
      </c>
      <c r="G46" s="3"/>
      <c r="H46" s="3" t="str">
        <f>IF($G46="","",(AVERAGE(VLOOKUP($G46,Listas!$M$1:$S$6,7,0))))</f>
        <v/>
      </c>
      <c r="I46" s="3" t="str">
        <f t="shared" si="4"/>
        <v/>
      </c>
      <c r="J46" s="3"/>
    </row>
    <row r="47" spans="1:11" ht="14.25" customHeight="1" x14ac:dyDescent="0.2">
      <c r="A47" s="3"/>
      <c r="B47" s="3"/>
      <c r="C47" s="3"/>
      <c r="D47" s="3"/>
      <c r="E47" s="3"/>
      <c r="F47" s="3" t="str">
        <f>IF($D47="","",AVERAGE(VLOOKUP($D47,Listas!$K$1:$S$6,9,0),(VLOOKUP($E47,Listas!$L$1:$S$6,8,0))))</f>
        <v/>
      </c>
      <c r="G47" s="3"/>
      <c r="H47" s="3" t="str">
        <f>IF($G47="","",(AVERAGE(VLOOKUP($G47,Listas!$M$1:$S$6,7,0))))</f>
        <v/>
      </c>
      <c r="I47" s="3" t="str">
        <f t="shared" si="4"/>
        <v/>
      </c>
      <c r="J47" s="3"/>
    </row>
    <row r="48" spans="1:11" ht="14.25" customHeight="1" x14ac:dyDescent="0.2">
      <c r="A48" s="3"/>
      <c r="B48" s="3"/>
      <c r="C48" s="3"/>
      <c r="D48" s="3"/>
      <c r="E48" s="3"/>
      <c r="F48" s="3" t="str">
        <f>IF($D48="","",AVERAGE(VLOOKUP($D48,Listas!$K$1:$S$6,9,0),(VLOOKUP($E48,Listas!$L$1:$S$6,8,0))))</f>
        <v/>
      </c>
      <c r="G48" s="3"/>
      <c r="H48" s="3" t="str">
        <f>IF($G48="","",(AVERAGE(VLOOKUP($G48,Listas!$M$1:$S$6,7,0))))</f>
        <v/>
      </c>
      <c r="I48" s="3" t="str">
        <f t="shared" si="4"/>
        <v/>
      </c>
      <c r="J48" s="3"/>
    </row>
    <row r="49" spans="6:9" s="3" customFormat="1" ht="14.25" customHeight="1" x14ac:dyDescent="0.2">
      <c r="F49" s="3" t="str">
        <f>IF($D49="","",AVERAGE(VLOOKUP($D49,Listas!$K$1:$S$6,9,0),(VLOOKUP($E49,Listas!$L$1:$S$6,8,0))))</f>
        <v/>
      </c>
      <c r="H49" s="3" t="str">
        <f>IF($G49="","",(AVERAGE(VLOOKUP($G49,Listas!$M$1:$S$6,7,0))))</f>
        <v/>
      </c>
      <c r="I49" s="3" t="str">
        <f t="shared" si="4"/>
        <v/>
      </c>
    </row>
    <row r="50" spans="6:9" s="3" customFormat="1" ht="14.25" customHeight="1" x14ac:dyDescent="0.2">
      <c r="F50" s="3" t="str">
        <f>IF($D50="","",AVERAGE(VLOOKUP($D50,Listas!$K$1:$S$6,9,0),(VLOOKUP($E50,Listas!$L$1:$S$6,8,0))))</f>
        <v/>
      </c>
      <c r="H50" s="3" t="str">
        <f>IF($G50="","",(AVERAGE(VLOOKUP($G50,Listas!$M$1:$S$6,7,0))))</f>
        <v/>
      </c>
      <c r="I50" s="3" t="str">
        <f t="shared" si="4"/>
        <v/>
      </c>
    </row>
    <row r="51" spans="6:9" s="3" customFormat="1" ht="14.25" customHeight="1" x14ac:dyDescent="0.2">
      <c r="F51" s="3" t="str">
        <f>IF($D51="","",AVERAGE(VLOOKUP($D51,Listas!$K$1:$S$6,9,0),(VLOOKUP($E51,Listas!$L$1:$S$6,8,0))))</f>
        <v/>
      </c>
      <c r="H51" s="3" t="str">
        <f>IF($G51="","",(AVERAGE(VLOOKUP($G51,Listas!$M$1:$S$6,7,0))))</f>
        <v/>
      </c>
      <c r="I51" s="3" t="str">
        <f t="shared" si="4"/>
        <v/>
      </c>
    </row>
    <row r="52" spans="6:9" s="3" customFormat="1" ht="14.25" customHeight="1" x14ac:dyDescent="0.2">
      <c r="F52" s="3" t="str">
        <f>IF($D52="","",AVERAGE(VLOOKUP($D52,Listas!$K$1:$S$6,9,0),(VLOOKUP($E52,Listas!$L$1:$S$6,8,0))))</f>
        <v/>
      </c>
      <c r="H52" s="3" t="str">
        <f>IF($G52="","",(AVERAGE(VLOOKUP($G52,Listas!$M$1:$S$6,7,0))))</f>
        <v/>
      </c>
      <c r="I52" s="3" t="str">
        <f t="shared" si="4"/>
        <v/>
      </c>
    </row>
    <row r="53" spans="6:9" s="3" customFormat="1" ht="14.25" customHeight="1" x14ac:dyDescent="0.2">
      <c r="F53" s="3" t="str">
        <f>IF($D53="","",AVERAGE(VLOOKUP($D53,Listas!$K$1:$S$6,9,0),(VLOOKUP($E53,Listas!$L$1:$S$6,8,0))))</f>
        <v/>
      </c>
      <c r="H53" s="3" t="str">
        <f>IF($G53="","",(AVERAGE(VLOOKUP($G53,Listas!$M$1:$S$6,7,0))))</f>
        <v/>
      </c>
      <c r="I53" s="3" t="str">
        <f t="shared" si="4"/>
        <v/>
      </c>
    </row>
    <row r="54" spans="6:9" s="3" customFormat="1" ht="14.25" customHeight="1" x14ac:dyDescent="0.2">
      <c r="F54" s="3" t="str">
        <f>IF($D54="","",AVERAGE(VLOOKUP($D54,Listas!$K$1:$S$6,9,0),(VLOOKUP($E54,Listas!$L$1:$S$6,8,0))))</f>
        <v/>
      </c>
      <c r="H54" s="3" t="str">
        <f>IF($G54="","",(AVERAGE(VLOOKUP($G54,Listas!$M$1:$S$6,7,0))))</f>
        <v/>
      </c>
      <c r="I54" s="3" t="str">
        <f t="shared" si="4"/>
        <v/>
      </c>
    </row>
    <row r="55" spans="6:9" s="3" customFormat="1" ht="14.25" customHeight="1" x14ac:dyDescent="0.2">
      <c r="F55" s="3" t="str">
        <f>IF($D55="","",AVERAGE(VLOOKUP($D55,Listas!$K$1:$S$6,9,0),(VLOOKUP($E55,Listas!$L$1:$S$6,8,0))))</f>
        <v/>
      </c>
      <c r="H55" s="3" t="str">
        <f>IF($G55="","",(AVERAGE(VLOOKUP($G55,Listas!$M$1:$S$6,7,0))))</f>
        <v/>
      </c>
      <c r="I55" s="3" t="str">
        <f t="shared" si="4"/>
        <v/>
      </c>
    </row>
    <row r="56" spans="6:9" s="3" customFormat="1" ht="14.25" customHeight="1" x14ac:dyDescent="0.2">
      <c r="F56" s="3" t="str">
        <f>IF($D56="","",AVERAGE(VLOOKUP($D56,Listas!$K$1:$S$6,9,0),(VLOOKUP($E56,Listas!$L$1:$S$6,8,0))))</f>
        <v/>
      </c>
      <c r="H56" s="3" t="str">
        <f>IF($G56="","",(AVERAGE(VLOOKUP($G56,Listas!$M$1:$S$6,7,0))))</f>
        <v/>
      </c>
      <c r="I56" s="3" t="str">
        <f t="shared" si="4"/>
        <v/>
      </c>
    </row>
    <row r="57" spans="6:9" s="3" customFormat="1" ht="14.25" customHeight="1" x14ac:dyDescent="0.2">
      <c r="F57" s="3" t="str">
        <f>IF($D57="","",AVERAGE(VLOOKUP($D57,Listas!$K$1:$S$6,9,0),(VLOOKUP($E57,Listas!$L$1:$S$6,8,0))))</f>
        <v/>
      </c>
      <c r="H57" s="3" t="str">
        <f>IF($G57="","",(AVERAGE(VLOOKUP($G57,Listas!$M$1:$S$6,7,0))))</f>
        <v/>
      </c>
      <c r="I57" s="3" t="str">
        <f t="shared" si="4"/>
        <v/>
      </c>
    </row>
    <row r="58" spans="6:9" s="3" customFormat="1" ht="14.25" customHeight="1" x14ac:dyDescent="0.2">
      <c r="F58" s="3" t="str">
        <f>IF($D58="","",AVERAGE(VLOOKUP($D58,Listas!$K$1:$S$6,9,0),(VLOOKUP($E58,Listas!$L$1:$S$6,8,0))))</f>
        <v/>
      </c>
      <c r="H58" s="3" t="str">
        <f>IF($G58="","",(AVERAGE(VLOOKUP($G58,Listas!$M$1:$S$6,7,0))))</f>
        <v/>
      </c>
      <c r="I58" s="3" t="str">
        <f t="shared" si="4"/>
        <v/>
      </c>
    </row>
    <row r="59" spans="6:9" s="3" customFormat="1" ht="14.25" customHeight="1" x14ac:dyDescent="0.2">
      <c r="F59" s="3" t="str">
        <f>IF($D59="","",AVERAGE(VLOOKUP($D59,Listas!$K$1:$S$6,9,0),(VLOOKUP($E59,Listas!$L$1:$S$6,8,0))))</f>
        <v/>
      </c>
      <c r="H59" s="3" t="str">
        <f>IF($G59="","",(AVERAGE(VLOOKUP($G59,Listas!$M$1:$S$6,7,0))))</f>
        <v/>
      </c>
      <c r="I59" s="3" t="str">
        <f t="shared" si="4"/>
        <v/>
      </c>
    </row>
    <row r="60" spans="6:9" s="3" customFormat="1" ht="14.25" customHeight="1" x14ac:dyDescent="0.2">
      <c r="F60" s="3" t="str">
        <f>IF($D60="","",AVERAGE(VLOOKUP($D60,Listas!$K$1:$S$6,9,0),(VLOOKUP($E60,Listas!$L$1:$S$6,8,0))))</f>
        <v/>
      </c>
      <c r="H60" s="3" t="str">
        <f>IF($G60="","",(AVERAGE(VLOOKUP($G60,Listas!$M$1:$S$6,7,0))))</f>
        <v/>
      </c>
      <c r="I60" s="3" t="str">
        <f t="shared" si="4"/>
        <v/>
      </c>
    </row>
    <row r="61" spans="6:9" s="3" customFormat="1" ht="14.25" customHeight="1" x14ac:dyDescent="0.2">
      <c r="F61" s="3" t="str">
        <f>IF($D61="","",AVERAGE(VLOOKUP($D61,Listas!$K$1:$S$6,9,0),(VLOOKUP($E61,Listas!$L$1:$S$6,8,0))))</f>
        <v/>
      </c>
      <c r="H61" s="3" t="str">
        <f>IF($G61="","",(AVERAGE(VLOOKUP($G61,Listas!$M$1:$S$6,7,0))))</f>
        <v/>
      </c>
      <c r="I61" s="3" t="str">
        <f t="shared" si="4"/>
        <v/>
      </c>
    </row>
    <row r="62" spans="6:9" s="3" customFormat="1" ht="14.25" customHeight="1" x14ac:dyDescent="0.2">
      <c r="F62" s="3" t="str">
        <f>IF($D62="","",AVERAGE(VLOOKUP($D62,Listas!$K$1:$S$6,9,0),(VLOOKUP($E62,Listas!$L$1:$S$6,8,0))))</f>
        <v/>
      </c>
      <c r="H62" s="3" t="str">
        <f>IF($G62="","",(AVERAGE(VLOOKUP($G62,Listas!$M$1:$S$6,7,0))))</f>
        <v/>
      </c>
      <c r="I62" s="3" t="str">
        <f t="shared" si="4"/>
        <v/>
      </c>
    </row>
    <row r="63" spans="6:9" s="3" customFormat="1" ht="14.25" customHeight="1" x14ac:dyDescent="0.2">
      <c r="F63" s="3" t="str">
        <f>IF($D63="","",AVERAGE(VLOOKUP($D63,Listas!$K$1:$S$6,9,0),(VLOOKUP($E63,Listas!$L$1:$S$6,8,0))))</f>
        <v/>
      </c>
      <c r="H63" s="3" t="str">
        <f>IF($G63="","",(AVERAGE(VLOOKUP($G63,Listas!$M$1:$S$6,7,0))))</f>
        <v/>
      </c>
      <c r="I63" s="3" t="str">
        <f t="shared" si="4"/>
        <v/>
      </c>
    </row>
    <row r="64" spans="6:9" s="3" customFormat="1" ht="14.25" customHeight="1" x14ac:dyDescent="0.2">
      <c r="F64" s="3" t="str">
        <f>IF($D64="","",AVERAGE(VLOOKUP($D64,Listas!$K$1:$S$6,9,0),(VLOOKUP($E64,Listas!$L$1:$S$6,8,0))))</f>
        <v/>
      </c>
      <c r="H64" s="3" t="str">
        <f>IF($G64="","",(AVERAGE(VLOOKUP($G64,Listas!$M$1:$S$6,7,0))))</f>
        <v/>
      </c>
      <c r="I64" s="3" t="str">
        <f t="shared" si="4"/>
        <v/>
      </c>
    </row>
    <row r="65" spans="6:9" s="3" customFormat="1" ht="14.25" customHeight="1" x14ac:dyDescent="0.2">
      <c r="F65" s="3" t="str">
        <f>IF($D65="","",AVERAGE(VLOOKUP($D65,Listas!$K$1:$S$6,9,0),(VLOOKUP($E65,Listas!$L$1:$S$6,8,0))))</f>
        <v/>
      </c>
      <c r="H65" s="3" t="str">
        <f>IF($G65="","",(AVERAGE(VLOOKUP($G65,Listas!$M$1:$S$6,7,0))))</f>
        <v/>
      </c>
      <c r="I65" s="3" t="str">
        <f t="shared" si="4"/>
        <v/>
      </c>
    </row>
    <row r="66" spans="6:9" s="3" customFormat="1" ht="14.25" customHeight="1" x14ac:dyDescent="0.2">
      <c r="F66" s="3" t="str">
        <f>IF($D66="","",AVERAGE(VLOOKUP($D66,Listas!$K$1:$S$6,9,0),(VLOOKUP($E66,Listas!$L$1:$S$6,8,0))))</f>
        <v/>
      </c>
      <c r="H66" s="3" t="str">
        <f>IF($G66="","",(AVERAGE(VLOOKUP($G66,Listas!$M$1:$S$6,7,0))))</f>
        <v/>
      </c>
      <c r="I66" s="3" t="str">
        <f t="shared" si="4"/>
        <v/>
      </c>
    </row>
    <row r="67" spans="6:9" s="3" customFormat="1" ht="14.25" customHeight="1" x14ac:dyDescent="0.2">
      <c r="F67" s="3" t="str">
        <f>IF($D67="","",AVERAGE(VLOOKUP($D67,Listas!$K$1:$S$6,9,0),(VLOOKUP($E67,Listas!$L$1:$S$6,8,0))))</f>
        <v/>
      </c>
      <c r="H67" s="3" t="str">
        <f>IF($G67="","",(AVERAGE(VLOOKUP($G67,Listas!$M$1:$S$6,7,0))))</f>
        <v/>
      </c>
      <c r="I67" s="3" t="str">
        <f t="shared" si="4"/>
        <v/>
      </c>
    </row>
    <row r="68" spans="6:9" s="3" customFormat="1" ht="14.25" customHeight="1" x14ac:dyDescent="0.2">
      <c r="F68" s="3" t="str">
        <f>IF($D68="","",AVERAGE(VLOOKUP($D68,Listas!$K$1:$S$6,9,0),(VLOOKUP($E68,Listas!$L$1:$S$6,8,0))))</f>
        <v/>
      </c>
      <c r="H68" s="3" t="str">
        <f>IF($G68="","",(AVERAGE(VLOOKUP($G68,Listas!$M$1:$S$6,7,0))))</f>
        <v/>
      </c>
      <c r="I68" s="3" t="str">
        <f t="shared" si="4"/>
        <v/>
      </c>
    </row>
    <row r="69" spans="6:9" s="3" customFormat="1" ht="14.25" customHeight="1" x14ac:dyDescent="0.2">
      <c r="F69" s="3" t="str">
        <f>IF($D69="","",AVERAGE(VLOOKUP($D69,Listas!$K$1:$S$6,9,0),(VLOOKUP($E69,Listas!$L$1:$S$6,8,0))))</f>
        <v/>
      </c>
      <c r="H69" s="3" t="str">
        <f>IF($G69="","",(AVERAGE(VLOOKUP($G69,Listas!$M$1:$S$6,7,0))))</f>
        <v/>
      </c>
      <c r="I69" s="3" t="str">
        <f t="shared" si="4"/>
        <v/>
      </c>
    </row>
    <row r="70" spans="6:9" s="3" customFormat="1" x14ac:dyDescent="0.2">
      <c r="F70" s="3" t="str">
        <f>IF($D70="","",AVERAGE(VLOOKUP($D70,Listas!$K$1:$S$6,9,0),(VLOOKUP($E70,Listas!$L$1:$S$6,8,0))))</f>
        <v/>
      </c>
      <c r="H70" s="3" t="str">
        <f>IF($G70="","",(AVERAGE(VLOOKUP($G70,Listas!$M$1:$S$6,7,0))))</f>
        <v/>
      </c>
      <c r="I70" s="3" t="str">
        <f t="shared" si="4"/>
        <v/>
      </c>
    </row>
    <row r="71" spans="6:9" s="3" customFormat="1" ht="12.6" customHeight="1" x14ac:dyDescent="0.2">
      <c r="F71" s="3" t="str">
        <f>IF($D71="","",AVERAGE(VLOOKUP($D71,Listas!$K$1:$S$6,9,0),(VLOOKUP($E71,Listas!$L$1:$S$6,8,0))))</f>
        <v/>
      </c>
      <c r="H71" s="3" t="str">
        <f>IF($G71="","",(AVERAGE(VLOOKUP($G71,Listas!$M$1:$S$6,7,0))))</f>
        <v/>
      </c>
      <c r="I71" s="3" t="str">
        <f t="shared" si="4"/>
        <v/>
      </c>
    </row>
    <row r="72" spans="6:9" s="3" customFormat="1" ht="14.25" customHeight="1" x14ac:dyDescent="0.2">
      <c r="F72" s="3" t="str">
        <f>IF($D72="","",AVERAGE(VLOOKUP($D72,Listas!$K$1:$S$6,9,0),(VLOOKUP($E72,Listas!$L$1:$S$6,8,0))))</f>
        <v/>
      </c>
      <c r="H72" s="3" t="str">
        <f>IF($G72="","",(AVERAGE(VLOOKUP($G72,Listas!$M$1:$S$6,7,0))))</f>
        <v/>
      </c>
      <c r="I72" s="3" t="str">
        <f t="shared" si="4"/>
        <v/>
      </c>
    </row>
    <row r="73" spans="6:9" s="3" customFormat="1" ht="15" customHeight="1" x14ac:dyDescent="0.2">
      <c r="F73" s="3" t="str">
        <f>IF($D73="","",AVERAGE(VLOOKUP($D73,Listas!$K$1:$S$6,9,0),(VLOOKUP($E73,Listas!$L$1:$S$6,8,0))))</f>
        <v/>
      </c>
      <c r="H73" s="3" t="str">
        <f>IF($G73="","",(AVERAGE(VLOOKUP($G73,Listas!$M$1:$S$6,7,0))))</f>
        <v/>
      </c>
      <c r="I73" s="3" t="str">
        <f t="shared" si="4"/>
        <v/>
      </c>
    </row>
    <row r="74" spans="6:9" s="3" customFormat="1" ht="14.25" customHeight="1" x14ac:dyDescent="0.2">
      <c r="F74" s="3" t="str">
        <f>IF($D74="","",AVERAGE(VLOOKUP($D74,Listas!$K$1:$S$6,9,0),(VLOOKUP($E74,Listas!$L$1:$S$6,8,0))))</f>
        <v/>
      </c>
      <c r="H74" s="3" t="str">
        <f>IF($G74="","",(AVERAGE(VLOOKUP($G74,Listas!$M$1:$S$6,7,0))))</f>
        <v/>
      </c>
      <c r="I74" s="3" t="str">
        <f t="shared" si="4"/>
        <v/>
      </c>
    </row>
    <row r="75" spans="6:9" s="3" customFormat="1" ht="14.25" customHeight="1" x14ac:dyDescent="0.2">
      <c r="F75" s="3" t="str">
        <f>IF($D75="","",AVERAGE(VLOOKUP($D75,Listas!$K$1:$S$6,9,0),(VLOOKUP($E75,Listas!$L$1:$S$6,8,0))))</f>
        <v/>
      </c>
      <c r="H75" s="3" t="str">
        <f>IF($G75="","",(AVERAGE(VLOOKUP($G75,Listas!$M$1:$S$6,7,0))))</f>
        <v/>
      </c>
      <c r="I75" s="3" t="str">
        <f t="shared" si="4"/>
        <v/>
      </c>
    </row>
    <row r="76" spans="6:9" s="3" customFormat="1" ht="14.25" customHeight="1" x14ac:dyDescent="0.2">
      <c r="F76" s="3" t="str">
        <f>IF($D76="","",AVERAGE(VLOOKUP($D76,Listas!$K$1:$S$6,9,0),(VLOOKUP($E76,Listas!$L$1:$S$6,8,0))))</f>
        <v/>
      </c>
      <c r="H76" s="3" t="str">
        <f>IF($G76="","",(AVERAGE(VLOOKUP($G76,Listas!$M$1:$S$6,7,0))))</f>
        <v/>
      </c>
      <c r="I76" s="3" t="str">
        <f t="shared" ref="I76:I111" si="5">IF($D76="","",$F76*$H76)</f>
        <v/>
      </c>
    </row>
    <row r="77" spans="6:9" s="3" customFormat="1" ht="14.25" customHeight="1" x14ac:dyDescent="0.2">
      <c r="F77" s="3" t="str">
        <f>IF($D77="","",AVERAGE(VLOOKUP($D77,Listas!$K$1:$S$6,9,0),(VLOOKUP($E77,Listas!$L$1:$S$6,8,0))))</f>
        <v/>
      </c>
      <c r="H77" s="3" t="str">
        <f>IF($G77="","",(AVERAGE(VLOOKUP($G77,Listas!$M$1:$S$6,7,0))))</f>
        <v/>
      </c>
      <c r="I77" s="3" t="str">
        <f t="shared" si="5"/>
        <v/>
      </c>
    </row>
    <row r="78" spans="6:9" s="3" customFormat="1" ht="14.25" customHeight="1" x14ac:dyDescent="0.2">
      <c r="F78" s="3" t="str">
        <f>IF($D78="","",AVERAGE(VLOOKUP($D78,Listas!$K$1:$S$6,9,0),(VLOOKUP($E78,Listas!$L$1:$S$6,8,0))))</f>
        <v/>
      </c>
      <c r="H78" s="3" t="str">
        <f>IF($G78="","",(AVERAGE(VLOOKUP($G78,Listas!$M$1:$S$6,7,0))))</f>
        <v/>
      </c>
      <c r="I78" s="3" t="str">
        <f t="shared" si="5"/>
        <v/>
      </c>
    </row>
    <row r="79" spans="6:9" s="3" customFormat="1" ht="14.25" customHeight="1" x14ac:dyDescent="0.2">
      <c r="F79" s="3" t="str">
        <f>IF($D79="","",AVERAGE(VLOOKUP($D79,Listas!$K$1:$S$6,9,0),(VLOOKUP($E79,Listas!$L$1:$S$6,8,0))))</f>
        <v/>
      </c>
      <c r="H79" s="3" t="str">
        <f>IF($G79="","",(AVERAGE(VLOOKUP($G79,Listas!$M$1:$S$6,7,0))))</f>
        <v/>
      </c>
      <c r="I79" s="3" t="str">
        <f t="shared" si="5"/>
        <v/>
      </c>
    </row>
    <row r="80" spans="6:9" s="3" customFormat="1" ht="14.25" customHeight="1" x14ac:dyDescent="0.2">
      <c r="F80" s="3" t="str">
        <f>IF($D80="","",AVERAGE(VLOOKUP($D80,Listas!$K$1:$S$6,9,0),(VLOOKUP($E80,Listas!$L$1:$S$6,8,0))))</f>
        <v/>
      </c>
      <c r="H80" s="3" t="str">
        <f>IF($G80="","",(AVERAGE(VLOOKUP($G80,Listas!$M$1:$S$6,7,0))))</f>
        <v/>
      </c>
      <c r="I80" s="3" t="str">
        <f t="shared" si="5"/>
        <v/>
      </c>
    </row>
    <row r="81" spans="6:9" s="3" customFormat="1" ht="14.25" customHeight="1" x14ac:dyDescent="0.2">
      <c r="F81" s="3" t="str">
        <f>IF($D81="","",AVERAGE(VLOOKUP($D81,Listas!$K$1:$S$6,9,0),(VLOOKUP($E81,Listas!$L$1:$S$6,8,0))))</f>
        <v/>
      </c>
      <c r="H81" s="3" t="str">
        <f>IF($G81="","",(AVERAGE(VLOOKUP($G81,Listas!$M$1:$S$6,7,0))))</f>
        <v/>
      </c>
      <c r="I81" s="3" t="str">
        <f t="shared" si="5"/>
        <v/>
      </c>
    </row>
    <row r="82" spans="6:9" s="3" customFormat="1" ht="14.25" customHeight="1" x14ac:dyDescent="0.2">
      <c r="F82" s="3" t="str">
        <f>IF($D82="","",AVERAGE(VLOOKUP($D82,Listas!$K$1:$S$6,9,0),(VLOOKUP($E82,Listas!$L$1:$S$6,8,0))))</f>
        <v/>
      </c>
      <c r="H82" s="3" t="str">
        <f>IF($G82="","",(AVERAGE(VLOOKUP($G82,Listas!$M$1:$S$6,7,0))))</f>
        <v/>
      </c>
      <c r="I82" s="3" t="str">
        <f t="shared" si="5"/>
        <v/>
      </c>
    </row>
    <row r="83" spans="6:9" s="3" customFormat="1" ht="14.25" customHeight="1" x14ac:dyDescent="0.2">
      <c r="F83" s="3" t="str">
        <f>IF($D83="","",AVERAGE(VLOOKUP($D83,Listas!$K$1:$S$6,9,0),(VLOOKUP($E83,Listas!$L$1:$S$6,8,0))))</f>
        <v/>
      </c>
      <c r="H83" s="3" t="str">
        <f>IF($G83="","",(AVERAGE(VLOOKUP($G83,Listas!$M$1:$S$6,7,0))))</f>
        <v/>
      </c>
      <c r="I83" s="3" t="str">
        <f t="shared" si="5"/>
        <v/>
      </c>
    </row>
    <row r="84" spans="6:9" s="3" customFormat="1" ht="14.25" customHeight="1" x14ac:dyDescent="0.2">
      <c r="F84" s="3" t="str">
        <f>IF($D84="","",AVERAGE(VLOOKUP($D84,Listas!$K$1:$S$6,9,0),(VLOOKUP($E84,Listas!$L$1:$S$6,8,0))))</f>
        <v/>
      </c>
      <c r="H84" s="3" t="str">
        <f>IF($G84="","",(AVERAGE(VLOOKUP($G84,Listas!$M$1:$S$6,7,0))))</f>
        <v/>
      </c>
      <c r="I84" s="3" t="str">
        <f t="shared" si="5"/>
        <v/>
      </c>
    </row>
    <row r="85" spans="6:9" s="3" customFormat="1" ht="14.25" customHeight="1" x14ac:dyDescent="0.2">
      <c r="F85" s="3" t="str">
        <f>IF($D85="","",AVERAGE(VLOOKUP($D85,Listas!$K$1:$S$6,9,0),(VLOOKUP($E85,Listas!$L$1:$S$6,8,0))))</f>
        <v/>
      </c>
      <c r="H85" s="3" t="str">
        <f>IF($G85="","",(AVERAGE(VLOOKUP($G85,Listas!$M$1:$S$6,7,0))))</f>
        <v/>
      </c>
      <c r="I85" s="3" t="str">
        <f t="shared" si="5"/>
        <v/>
      </c>
    </row>
    <row r="86" spans="6:9" s="3" customFormat="1" ht="14.25" customHeight="1" x14ac:dyDescent="0.2">
      <c r="F86" s="3" t="str">
        <f>IF($D86="","",AVERAGE(VLOOKUP($D86,Listas!$K$1:$S$6,9,0),(VLOOKUP($E86,Listas!$L$1:$S$6,8,0))))</f>
        <v/>
      </c>
      <c r="H86" s="3" t="str">
        <f>IF($G86="","",(AVERAGE(VLOOKUP($G86,Listas!$M$1:$S$6,7,0))))</f>
        <v/>
      </c>
      <c r="I86" s="3" t="str">
        <f t="shared" si="5"/>
        <v/>
      </c>
    </row>
    <row r="87" spans="6:9" s="3" customFormat="1" ht="14.25" customHeight="1" x14ac:dyDescent="0.2">
      <c r="F87" s="3" t="str">
        <f>IF($D87="","",AVERAGE(VLOOKUP($D87,Listas!$K$1:$S$6,9,0),(VLOOKUP($E87,Listas!$L$1:$S$6,8,0))))</f>
        <v/>
      </c>
      <c r="H87" s="3" t="str">
        <f>IF($G87="","",(AVERAGE(VLOOKUP($G87,Listas!$M$1:$S$6,7,0))))</f>
        <v/>
      </c>
      <c r="I87" s="3" t="str">
        <f t="shared" si="5"/>
        <v/>
      </c>
    </row>
    <row r="88" spans="6:9" s="3" customFormat="1" ht="14.25" customHeight="1" x14ac:dyDescent="0.2">
      <c r="F88" s="3" t="str">
        <f>IF($D88="","",AVERAGE(VLOOKUP($D88,Listas!$K$1:$S$6,9,0),(VLOOKUP($E88,Listas!$L$1:$S$6,8,0))))</f>
        <v/>
      </c>
      <c r="H88" s="3" t="str">
        <f>IF($G88="","",(AVERAGE(VLOOKUP($G88,Listas!$M$1:$S$6,7,0))))</f>
        <v/>
      </c>
      <c r="I88" s="3" t="str">
        <f t="shared" si="5"/>
        <v/>
      </c>
    </row>
    <row r="89" spans="6:9" s="3" customFormat="1" ht="14.25" customHeight="1" x14ac:dyDescent="0.2">
      <c r="F89" s="3" t="str">
        <f>IF($D89="","",AVERAGE(VLOOKUP($D89,Listas!$K$1:$S$6,9,0),(VLOOKUP($E89,Listas!$L$1:$S$6,8,0))))</f>
        <v/>
      </c>
      <c r="H89" s="3" t="str">
        <f>IF($G89="","",(AVERAGE(VLOOKUP($G89,Listas!$M$1:$S$6,7,0))))</f>
        <v/>
      </c>
      <c r="I89" s="3" t="str">
        <f t="shared" si="5"/>
        <v/>
      </c>
    </row>
    <row r="90" spans="6:9" s="3" customFormat="1" ht="14.25" customHeight="1" x14ac:dyDescent="0.2">
      <c r="F90" s="3" t="str">
        <f>IF($D90="","",AVERAGE(VLOOKUP($D90,Listas!$K$1:$S$6,9,0),(VLOOKUP($E90,Listas!$L$1:$S$6,8,0))))</f>
        <v/>
      </c>
      <c r="H90" s="3" t="str">
        <f>IF($G90="","",(AVERAGE(VLOOKUP($G90,Listas!$M$1:$S$6,7,0))))</f>
        <v/>
      </c>
      <c r="I90" s="3" t="str">
        <f t="shared" si="5"/>
        <v/>
      </c>
    </row>
    <row r="91" spans="6:9" s="3" customFormat="1" ht="14.25" customHeight="1" x14ac:dyDescent="0.2">
      <c r="F91" s="3" t="str">
        <f>IF($D91="","",AVERAGE(VLOOKUP($D91,Listas!$K$1:$S$6,9,0),(VLOOKUP($E91,Listas!$L$1:$S$6,8,0))))</f>
        <v/>
      </c>
      <c r="H91" s="3" t="str">
        <f>IF($G91="","",(AVERAGE(VLOOKUP($G91,Listas!$M$1:$S$6,7,0))))</f>
        <v/>
      </c>
      <c r="I91" s="3" t="str">
        <f t="shared" si="5"/>
        <v/>
      </c>
    </row>
    <row r="92" spans="6:9" s="3" customFormat="1" ht="14.25" customHeight="1" x14ac:dyDescent="0.2">
      <c r="F92" s="3" t="str">
        <f>IF($D92="","",AVERAGE(VLOOKUP($D92,Listas!$K$1:$S$6,9,0),(VLOOKUP($E92,Listas!$L$1:$S$6,8,0))))</f>
        <v/>
      </c>
      <c r="H92" s="3" t="str">
        <f>IF($G92="","",(AVERAGE(VLOOKUP($G92,Listas!$M$1:$S$6,7,0))))</f>
        <v/>
      </c>
      <c r="I92" s="3" t="str">
        <f t="shared" si="5"/>
        <v/>
      </c>
    </row>
    <row r="93" spans="6:9" s="3" customFormat="1" ht="14.25" customHeight="1" x14ac:dyDescent="0.2">
      <c r="F93" s="3" t="str">
        <f>IF($D93="","",AVERAGE(VLOOKUP($D93,Listas!$K$1:$S$6,9,0),(VLOOKUP($E93,Listas!$L$1:$S$6,8,0))))</f>
        <v/>
      </c>
      <c r="H93" s="3" t="str">
        <f>IF($G93="","",(AVERAGE(VLOOKUP($G93,Listas!$M$1:$S$6,7,0))))</f>
        <v/>
      </c>
      <c r="I93" s="3" t="str">
        <f t="shared" si="5"/>
        <v/>
      </c>
    </row>
    <row r="94" spans="6:9" s="3" customFormat="1" ht="14.25" customHeight="1" x14ac:dyDescent="0.2">
      <c r="F94" s="3" t="str">
        <f>IF($D94="","",AVERAGE(VLOOKUP($D94,Listas!$K$1:$S$6,9,0),(VLOOKUP($E94,Listas!$L$1:$S$6,8,0))))</f>
        <v/>
      </c>
      <c r="H94" s="3" t="str">
        <f>IF($G94="","",(AVERAGE(VLOOKUP($G94,Listas!$M$1:$S$6,7,0))))</f>
        <v/>
      </c>
      <c r="I94" s="3" t="str">
        <f t="shared" si="5"/>
        <v/>
      </c>
    </row>
    <row r="95" spans="6:9" s="3" customFormat="1" ht="14.25" customHeight="1" x14ac:dyDescent="0.2">
      <c r="F95" s="3" t="str">
        <f>IF($D95="","",AVERAGE(VLOOKUP($D95,Listas!$K$1:$S$6,9,0),(VLOOKUP($E95,Listas!$L$1:$S$6,8,0))))</f>
        <v/>
      </c>
      <c r="H95" s="3" t="str">
        <f>IF($G95="","",(AVERAGE(VLOOKUP($G95,Listas!$M$1:$S$6,7,0))))</f>
        <v/>
      </c>
      <c r="I95" s="3" t="str">
        <f t="shared" si="5"/>
        <v/>
      </c>
    </row>
    <row r="96" spans="6:9" s="3" customFormat="1" ht="14.25" customHeight="1" x14ac:dyDescent="0.2">
      <c r="F96" s="3" t="str">
        <f>IF($D96="","",AVERAGE(VLOOKUP($D96,Listas!$K$1:$S$6,9,0),(VLOOKUP($E96,Listas!$L$1:$S$6,8,0))))</f>
        <v/>
      </c>
      <c r="H96" s="3" t="str">
        <f>IF($G96="","",(AVERAGE(VLOOKUP($G96,Listas!$M$1:$S$6,7,0))))</f>
        <v/>
      </c>
      <c r="I96" s="3" t="str">
        <f t="shared" si="5"/>
        <v/>
      </c>
    </row>
    <row r="97" spans="6:9" s="3" customFormat="1" ht="14.25" customHeight="1" x14ac:dyDescent="0.2">
      <c r="F97" s="3" t="str">
        <f>IF($D97="","",AVERAGE(VLOOKUP($D97,Listas!$K$1:$S$6,9,0),(VLOOKUP($E97,Listas!$L$1:$S$6,8,0))))</f>
        <v/>
      </c>
      <c r="H97" s="3" t="str">
        <f>IF($G97="","",(AVERAGE(VLOOKUP($G97,Listas!$M$1:$S$6,7,0))))</f>
        <v/>
      </c>
      <c r="I97" s="3" t="str">
        <f t="shared" si="5"/>
        <v/>
      </c>
    </row>
    <row r="98" spans="6:9" s="3" customFormat="1" ht="14.25" customHeight="1" x14ac:dyDescent="0.2">
      <c r="F98" s="3" t="str">
        <f>IF($D98="","",AVERAGE(VLOOKUP($D98,Listas!$K$1:$S$6,9,0),(VLOOKUP($E98,Listas!$L$1:$S$6,8,0))))</f>
        <v/>
      </c>
      <c r="H98" s="3" t="str">
        <f>IF($G98="","",(AVERAGE(VLOOKUP($G98,Listas!$M$1:$S$6,7,0))))</f>
        <v/>
      </c>
      <c r="I98" s="3" t="str">
        <f t="shared" si="5"/>
        <v/>
      </c>
    </row>
    <row r="99" spans="6:9" s="3" customFormat="1" ht="14.25" customHeight="1" x14ac:dyDescent="0.2">
      <c r="F99" s="3" t="str">
        <f>IF($D99="","",AVERAGE(VLOOKUP($D99,Listas!$K$1:$S$6,9,0),(VLOOKUP($E99,Listas!$L$1:$S$6,8,0))))</f>
        <v/>
      </c>
      <c r="H99" s="3" t="str">
        <f>IF($G99="","",(AVERAGE(VLOOKUP($G99,Listas!$M$1:$S$6,7,0))))</f>
        <v/>
      </c>
      <c r="I99" s="3" t="str">
        <f t="shared" si="5"/>
        <v/>
      </c>
    </row>
    <row r="100" spans="6:9" s="3" customFormat="1" ht="14.25" customHeight="1" x14ac:dyDescent="0.2">
      <c r="F100" s="3" t="str">
        <f>IF($D100="","",AVERAGE(VLOOKUP($D100,Listas!$K$1:$S$6,9,0),(VLOOKUP($E100,Listas!$L$1:$S$6,8,0))))</f>
        <v/>
      </c>
      <c r="H100" s="3" t="str">
        <f>IF($G100="","",(AVERAGE(VLOOKUP($G100,Listas!$M$1:$S$6,7,0))))</f>
        <v/>
      </c>
      <c r="I100" s="3" t="str">
        <f t="shared" si="5"/>
        <v/>
      </c>
    </row>
    <row r="101" spans="6:9" s="3" customFormat="1" ht="14.25" customHeight="1" x14ac:dyDescent="0.2">
      <c r="F101" s="3" t="str">
        <f>IF($D101="","",AVERAGE(VLOOKUP($D101,Listas!$K$1:$S$6,9,0),(VLOOKUP($E101,Listas!$L$1:$S$6,8,0))))</f>
        <v/>
      </c>
      <c r="H101" s="3" t="str">
        <f>IF($G101="","",(AVERAGE(VLOOKUP($G101,Listas!$M$1:$S$6,7,0))))</f>
        <v/>
      </c>
      <c r="I101" s="3" t="str">
        <f t="shared" si="5"/>
        <v/>
      </c>
    </row>
    <row r="102" spans="6:9" s="3" customFormat="1" ht="14.25" customHeight="1" x14ac:dyDescent="0.2">
      <c r="F102" s="3" t="str">
        <f>IF($D102="","",AVERAGE(VLOOKUP($D102,Listas!$K$1:$S$6,9,0),(VLOOKUP($E102,Listas!$L$1:$S$6,8,0))))</f>
        <v/>
      </c>
      <c r="H102" s="3" t="str">
        <f>IF($G102="","",(AVERAGE(VLOOKUP($G102,Listas!$M$1:$S$6,7,0))))</f>
        <v/>
      </c>
      <c r="I102" s="3" t="str">
        <f t="shared" si="5"/>
        <v/>
      </c>
    </row>
    <row r="103" spans="6:9" s="3" customFormat="1" ht="14.25" customHeight="1" x14ac:dyDescent="0.2">
      <c r="F103" s="3" t="str">
        <f>IF($D103="","",AVERAGE(VLOOKUP($D103,Listas!$K$1:$S$6,9,0),(VLOOKUP($E103,Listas!$L$1:$S$6,8,0))))</f>
        <v/>
      </c>
      <c r="H103" s="3" t="str">
        <f>IF($G103="","",(AVERAGE(VLOOKUP($G103,Listas!$M$1:$S$6,7,0))))</f>
        <v/>
      </c>
      <c r="I103" s="3" t="str">
        <f t="shared" si="5"/>
        <v/>
      </c>
    </row>
    <row r="104" spans="6:9" s="3" customFormat="1" ht="14.25" customHeight="1" x14ac:dyDescent="0.2">
      <c r="F104" s="3" t="str">
        <f>IF($D104="","",AVERAGE(VLOOKUP($D104,Listas!$K$1:$S$6,9,0),(VLOOKUP($E104,Listas!$L$1:$S$6,8,0))))</f>
        <v/>
      </c>
      <c r="H104" s="3" t="str">
        <f>IF($G104="","",(AVERAGE(VLOOKUP($G104,Listas!$M$1:$S$6,7,0))))</f>
        <v/>
      </c>
      <c r="I104" s="3" t="str">
        <f t="shared" si="5"/>
        <v/>
      </c>
    </row>
    <row r="105" spans="6:9" s="3" customFormat="1" ht="14.25" customHeight="1" x14ac:dyDescent="0.2">
      <c r="F105" s="3" t="str">
        <f>IF($D105="","",AVERAGE(VLOOKUP($D105,Listas!$K$1:$S$6,9,0),(VLOOKUP($E105,Listas!$L$1:$S$6,8,0))))</f>
        <v/>
      </c>
      <c r="H105" s="3" t="str">
        <f>IF($G105="","",(AVERAGE(VLOOKUP($G105,Listas!$M$1:$S$6,7,0))))</f>
        <v/>
      </c>
      <c r="I105" s="3" t="str">
        <f t="shared" si="5"/>
        <v/>
      </c>
    </row>
    <row r="106" spans="6:9" s="3" customFormat="1" ht="14.25" customHeight="1" x14ac:dyDescent="0.2">
      <c r="F106" s="3" t="str">
        <f>IF($D106="","",AVERAGE(VLOOKUP($D106,Listas!$K$1:$S$6,9,0),(VLOOKUP($E106,Listas!$L$1:$S$6,8,0))))</f>
        <v/>
      </c>
      <c r="H106" s="3" t="str">
        <f>IF($G106="","",(AVERAGE(VLOOKUP($G106,Listas!$M$1:$S$6,7,0))))</f>
        <v/>
      </c>
      <c r="I106" s="3" t="str">
        <f t="shared" si="5"/>
        <v/>
      </c>
    </row>
    <row r="107" spans="6:9" s="3" customFormat="1" ht="14.25" customHeight="1" x14ac:dyDescent="0.2">
      <c r="F107" s="3" t="str">
        <f>IF($D107="","",AVERAGE(VLOOKUP($D107,Listas!$K$1:$S$6,9,0),(VLOOKUP($E107,Listas!$L$1:$S$6,8,0))))</f>
        <v/>
      </c>
      <c r="H107" s="3" t="str">
        <f>IF($G107="","",(AVERAGE(VLOOKUP($G107,Listas!$M$1:$S$6,7,0))))</f>
        <v/>
      </c>
      <c r="I107" s="3" t="str">
        <f t="shared" si="5"/>
        <v/>
      </c>
    </row>
    <row r="108" spans="6:9" s="3" customFormat="1" ht="14.25" customHeight="1" x14ac:dyDescent="0.2">
      <c r="F108" s="3" t="str">
        <f>IF($D108="","",AVERAGE(VLOOKUP($D108,Listas!$K$1:$S$6,9,0),(VLOOKUP($E108,Listas!$L$1:$S$6,8,0))))</f>
        <v/>
      </c>
      <c r="H108" s="3" t="str">
        <f>IF($G108="","",(AVERAGE(VLOOKUP($G108,Listas!$M$1:$S$6,7,0))))</f>
        <v/>
      </c>
      <c r="I108" s="3" t="str">
        <f t="shared" si="5"/>
        <v/>
      </c>
    </row>
    <row r="109" spans="6:9" s="3" customFormat="1" ht="14.25" customHeight="1" x14ac:dyDescent="0.2">
      <c r="F109" s="3" t="str">
        <f>IF($D109="","",AVERAGE(VLOOKUP($D109,Listas!$K$1:$S$6,9,0),(VLOOKUP($E109,Listas!$L$1:$S$6,8,0))))</f>
        <v/>
      </c>
      <c r="H109" s="3" t="str">
        <f>IF($G109="","",(AVERAGE(VLOOKUP($G109,Listas!$M$1:$S$6,7,0))))</f>
        <v/>
      </c>
      <c r="I109" s="3" t="str">
        <f t="shared" si="5"/>
        <v/>
      </c>
    </row>
    <row r="110" spans="6:9" s="3" customFormat="1" x14ac:dyDescent="0.2">
      <c r="F110" s="3" t="str">
        <f>IF($D110="","",AVERAGE(VLOOKUP($D110,Listas!$K$1:$S$6,9,0),(VLOOKUP($E110,Listas!$L$1:$S$6,8,0))))</f>
        <v/>
      </c>
      <c r="H110" s="3" t="str">
        <f>IF($G110="","",(AVERAGE(VLOOKUP($G110,Listas!$M$1:$S$6,7,0))))</f>
        <v/>
      </c>
      <c r="I110" s="3" t="str">
        <f t="shared" si="5"/>
        <v/>
      </c>
    </row>
    <row r="111" spans="6:9" s="3" customFormat="1" x14ac:dyDescent="0.2">
      <c r="F111" s="3" t="str">
        <f>IF($D111="","",AVERAGE(VLOOKUP($D111,Listas!$K$1:$S$6,9,0),(VLOOKUP($E111,Listas!$L$1:$S$6,8,0))))</f>
        <v/>
      </c>
      <c r="H111" s="3" t="str">
        <f>IF($G111="","",(AVERAGE(VLOOKUP($G111,Listas!$M$1:$S$6,7,0))))</f>
        <v/>
      </c>
      <c r="I111" s="3" t="str">
        <f t="shared" si="5"/>
        <v/>
      </c>
    </row>
    <row r="112" spans="6:9"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sheetData>
  <sheetProtection formatCells="0" formatColumns="0" formatRows="0" insertRows="0" deleteRows="0" selectLockedCells="1" sort="0" autoFilter="0"/>
  <protectedRanges>
    <protectedRange sqref="M13 O13" name="Rango1_1"/>
  </protectedRanges>
  <autoFilter ref="A4:S24" xr:uid="{00000000-0009-0000-0000-00000200000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32:I38 I5:I16 I18:I21">
    <cfRule type="containsBlanks" priority="57" stopIfTrue="1">
      <formula>LEN(TRIM(I5))=0</formula>
    </cfRule>
  </conditionalFormatting>
  <conditionalFormatting sqref="K5">
    <cfRule type="containsBlanks" priority="38" stopIfTrue="1">
      <formula>LEN(TRIM(K5))=0</formula>
    </cfRule>
  </conditionalFormatting>
  <conditionalFormatting sqref="I28">
    <cfRule type="containsBlanks" priority="22" stopIfTrue="1">
      <formula>LEN(TRIM(I28))=0</formula>
    </cfRule>
  </conditionalFormatting>
  <conditionalFormatting sqref="I22:I24">
    <cfRule type="containsBlanks" priority="18" stopIfTrue="1">
      <formula>LEN(TRIM(I22))=0</formula>
    </cfRule>
  </conditionalFormatting>
  <conditionalFormatting sqref="K22:K24">
    <cfRule type="containsBlanks" priority="15" stopIfTrue="1">
      <formula>LEN(TRIM(K22))=0</formula>
    </cfRule>
  </conditionalFormatting>
  <conditionalFormatting sqref="I17">
    <cfRule type="containsBlanks" priority="8" stopIfTrue="1">
      <formula>LEN(TRIM(I17))=0</formula>
    </cfRule>
  </conditionalFormatting>
  <conditionalFormatting sqref="K6:K21">
    <cfRule type="containsBlanks" priority="2" stopIfTrue="1">
      <formula>LEN(TRIM(K6))=0</formula>
    </cfRule>
  </conditionalFormatting>
  <dataValidations count="5">
    <dataValidation allowBlank="1" showErrorMessage="1" errorTitle="Error" error="Please select an option from the drop down list." sqref="E22:E24 F5:F111 H5:H111" xr:uid="{00000000-0002-0000-0200-000000000000}"/>
    <dataValidation type="list" allowBlank="1" showErrorMessage="1" errorTitle="Error" error="Please select an option from the drop down list." sqref="E25:E111 E5:E21" xr:uid="{00000000-0002-0000-0200-000001000000}">
      <formula1>Occurrences</formula1>
    </dataValidation>
    <dataValidation type="list" allowBlank="1" showInputMessage="1" showErrorMessage="1" sqref="B23:B111 B5:B2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rintOptions horizontalCentered="1" verticalCentered="1"/>
  <pageMargins left="0.7" right="0.7" top="0.75" bottom="0.75" header="0.3" footer="0.3"/>
  <pageSetup paperSize="120" scale="42" orientation="landscape" r:id="rId1"/>
  <rowBreaks count="1" manualBreakCount="1">
    <brk id="21" max="16383" man="1"/>
  </rowBreaks>
  <drawing r:id="rId2"/>
  <extLst>
    <ext xmlns:x14="http://schemas.microsoft.com/office/spreadsheetml/2009/9/main" uri="{78C0D931-6437-407d-A8EE-F0AAD7539E65}">
      <x14:conditionalFormattings>
        <x14:conditionalFormatting xmlns:xm="http://schemas.microsoft.com/office/excel/2006/main">
          <x14:cfRule type="cellIs" priority="71" stopIfTrue="1" operator="between" id="{259731CE-DE80-4E06-9AB7-EC200BECEFF9}">
            <xm:f>Listas!$C$4</xm:f>
            <xm:f>Listas!$C$2</xm:f>
            <x14:dxf>
              <fill>
                <patternFill>
                  <bgColor rgb="FFFFFF00"/>
                </patternFill>
              </fill>
            </x14:dxf>
          </x14:cfRule>
          <xm:sqref>I32:I38 I5:I16 I18:I21</xm:sqref>
        </x14:conditionalFormatting>
        <x14:conditionalFormatting xmlns:xm="http://schemas.microsoft.com/office/excel/2006/main">
          <x14:cfRule type="expression" priority="70"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J5 J32:K38</xm:sqref>
        </x14:conditionalFormatting>
        <x14:conditionalFormatting xmlns:xm="http://schemas.microsoft.com/office/excel/2006/main">
          <x14:cfRule type="cellIs" priority="61" stopIfTrue="1" operator="greaterThanOrEqual" id="{EBEAAEC9-CBDA-406F-BBCC-FF04E3EFF825}">
            <xm:f>Listas!$C$2</xm:f>
            <x14:dxf>
              <font>
                <color rgb="FFFFFF00"/>
              </font>
              <fill>
                <patternFill>
                  <bgColor rgb="FFFF0000"/>
                </patternFill>
              </fill>
            </x14:dxf>
          </x14:cfRule>
          <xm:sqref>I32:I38 I5:I16 I18:I21</xm:sqref>
        </x14:conditionalFormatting>
        <x14:conditionalFormatting xmlns:xm="http://schemas.microsoft.com/office/excel/2006/main">
          <x14:cfRule type="cellIs" priority="40"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39"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5"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24"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23"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21" stopIfTrue="1" operator="between" id="{46670E8A-495D-418B-A374-D6DCC7ECA44E}">
            <xm:f>Listas!$C$4</xm:f>
            <xm:f>Listas!$C$2</xm:f>
            <x14:dxf>
              <fill>
                <patternFill>
                  <bgColor rgb="FFFFFF00"/>
                </patternFill>
              </fill>
            </x14:dxf>
          </x14:cfRule>
          <xm:sqref>I22:I24</xm:sqref>
        </x14:conditionalFormatting>
        <x14:conditionalFormatting xmlns:xm="http://schemas.microsoft.com/office/excel/2006/main">
          <x14:cfRule type="cellIs" priority="19" stopIfTrue="1" operator="greaterThanOrEqual" id="{9A806F52-BF19-4EC1-ACE7-AA4B12438E83}">
            <xm:f>Listas!$C$2</xm:f>
            <x14:dxf>
              <font>
                <color rgb="FFFFFF00"/>
              </font>
              <fill>
                <patternFill>
                  <bgColor rgb="FFFF0000"/>
                </patternFill>
              </fill>
            </x14:dxf>
          </x14:cfRule>
          <xm:sqref>I22:I24</xm:sqref>
        </x14:conditionalFormatting>
        <x14:conditionalFormatting xmlns:xm="http://schemas.microsoft.com/office/excel/2006/main">
          <x14:cfRule type="cellIs" priority="17" stopIfTrue="1" operator="between" id="{ABC39191-29AF-4CA8-9F47-9C255B8C5BEC}">
            <xm:f>Listas!$C$4</xm:f>
            <xm:f>Listas!$C$2</xm:f>
            <x14:dxf>
              <fill>
                <patternFill>
                  <bgColor rgb="FFFFFF00"/>
                </patternFill>
              </fill>
            </x14:dxf>
          </x14:cfRule>
          <xm:sqref>K22:K24</xm:sqref>
        </x14:conditionalFormatting>
        <x14:conditionalFormatting xmlns:xm="http://schemas.microsoft.com/office/excel/2006/main">
          <x14:cfRule type="cellIs" priority="16" stopIfTrue="1" operator="greaterThanOrEqual" id="{79CE7B64-4F89-4D26-8C0C-145FFDF63CFA}">
            <xm:f>Listas!$C$2</xm:f>
            <x14:dxf>
              <font>
                <color rgb="FFFFFF00"/>
              </font>
              <fill>
                <patternFill>
                  <bgColor rgb="FFFF0000"/>
                </patternFill>
              </fill>
            </x14:dxf>
          </x14:cfRule>
          <xm:sqref>K22:K24</xm:sqref>
        </x14:conditionalFormatting>
        <x14:conditionalFormatting xmlns:xm="http://schemas.microsoft.com/office/excel/2006/main">
          <x14:cfRule type="expression" priority="11" stopIfTrue="1" id="{1F8A0589-95DC-4F76-AA2F-0964B4877C67}">
            <xm:f>$I6&lt;='\Users\ACORRALES\AppData\Local\Microsoft\Windows\Temporary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J6 J8:J16</xm:sqref>
        </x14:conditionalFormatting>
        <x14:conditionalFormatting xmlns:xm="http://schemas.microsoft.com/office/excel/2006/main">
          <x14:cfRule type="cellIs" priority="10" stopIfTrue="1" operator="between" id="{00B2126F-0568-481D-9D34-94CBC28ED431}">
            <xm:f>Listas!$C$4</xm:f>
            <xm:f>Listas!$C$2</xm:f>
            <x14:dxf>
              <fill>
                <patternFill>
                  <bgColor rgb="FFFFFF00"/>
                </patternFill>
              </fill>
            </x14:dxf>
          </x14:cfRule>
          <xm:sqref>I17</xm:sqref>
        </x14:conditionalFormatting>
        <x14:conditionalFormatting xmlns:xm="http://schemas.microsoft.com/office/excel/2006/main">
          <x14:cfRule type="cellIs" priority="9" stopIfTrue="1" operator="greaterThanOrEqual" id="{B9EB7148-B455-4CF7-9D14-52F1B3C4CD9D}">
            <xm:f>Listas!$C$2</xm:f>
            <x14:dxf>
              <font>
                <color rgb="FFFFFF00"/>
              </font>
              <fill>
                <patternFill>
                  <bgColor rgb="FFFF0000"/>
                </patternFill>
              </fill>
            </x14:dxf>
          </x14:cfRule>
          <xm:sqref>I17</xm:sqref>
        </x14:conditionalFormatting>
        <x14:conditionalFormatting xmlns:xm="http://schemas.microsoft.com/office/excel/2006/main">
          <x14:cfRule type="expression" priority="6" stopIfTrue="1" id="{F041F001-33FE-4EDC-B321-9237CEE63265}">
            <xm:f>$I18&lt;=Listas!$C$4</xm:f>
            <x14:dxf>
              <fill>
                <patternFill>
                  <bgColor theme="0" tint="-0.24994659260841701"/>
                </patternFill>
              </fill>
              <border>
                <left style="thin">
                  <color theme="0"/>
                </left>
                <right style="thin">
                  <color theme="0"/>
                </right>
                <top style="thin">
                  <color theme="0"/>
                </top>
                <bottom style="thin">
                  <color theme="0"/>
                </bottom>
              </border>
            </x14:dxf>
          </x14:cfRule>
          <xm:sqref>J18:J20</xm:sqref>
        </x14:conditionalFormatting>
        <x14:conditionalFormatting xmlns:xm="http://schemas.microsoft.com/office/excel/2006/main">
          <x14:cfRule type="cellIs" priority="4" stopIfTrue="1" operator="between" id="{C76B86BF-B8DB-4E9E-A3FF-7BA762CB7685}">
            <xm:f>Listas!$C$4</xm:f>
            <xm:f>Listas!$C$2</xm:f>
            <x14:dxf>
              <fill>
                <patternFill>
                  <bgColor rgb="FFFFFF00"/>
                </patternFill>
              </fill>
            </x14:dxf>
          </x14:cfRule>
          <xm:sqref>K6:K21</xm:sqref>
        </x14:conditionalFormatting>
        <x14:conditionalFormatting xmlns:xm="http://schemas.microsoft.com/office/excel/2006/main">
          <x14:cfRule type="cellIs" priority="3" stopIfTrue="1" operator="greaterThanOrEqual" id="{7907C236-D08F-4CD0-BFBC-C8F001FCE608}">
            <xm:f>Listas!$C$2</xm:f>
            <x14:dxf>
              <font>
                <color rgb="FFFFFF00"/>
              </font>
              <fill>
                <patternFill>
                  <bgColor rgb="FFFF0000"/>
                </patternFill>
              </fill>
            </x14:dxf>
          </x14:cfRule>
          <xm:sqref>K6:K21</xm:sqref>
        </x14:conditionalFormatting>
        <x14:conditionalFormatting xmlns:xm="http://schemas.microsoft.com/office/excel/2006/main">
          <x14:cfRule type="expression" priority="73" stopIfTrue="1" id="{741D6546-DF95-4C65-90D7-000F31F9EE9D}">
            <xm:f>$I17&lt;='\Users\ACORRALES\AppData\Local\Microsoft\Windows\Temporary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topLeftCell="A4" zoomScaleNormal="100" zoomScalePageLayoutView="125" workbookViewId="0">
      <selection activeCell="D9" sqref="D9"/>
    </sheetView>
  </sheetViews>
  <sheetFormatPr baseColWidth="10" defaultRowHeight="15" x14ac:dyDescent="0.25"/>
  <cols>
    <col min="1" max="1" width="69.5703125" customWidth="1"/>
    <col min="2" max="2" width="23" bestFit="1" customWidth="1"/>
    <col min="3" max="3" width="23" customWidth="1"/>
    <col min="4" max="4" width="50.140625" customWidth="1"/>
    <col min="5" max="5" width="3.85546875" style="92" bestFit="1" customWidth="1"/>
    <col min="6" max="6" width="25.85546875" customWidth="1"/>
    <col min="7" max="7" width="3.85546875" style="99" bestFit="1" customWidth="1"/>
    <col min="8" max="8" width="19.28515625" customWidth="1"/>
    <col min="9" max="9" width="3.85546875" style="99" bestFit="1" customWidth="1"/>
    <col min="10" max="10" width="19.28515625" customWidth="1"/>
    <col min="11" max="11" width="3.85546875" style="98"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92" bestFit="1" customWidth="1"/>
    <col min="29" max="29" width="16.140625" style="92" bestFit="1" customWidth="1"/>
    <col min="30" max="30" width="12.85546875" style="92"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100" customFormat="1" ht="30" customHeight="1" x14ac:dyDescent="0.25">
      <c r="A1" s="155" t="s">
        <v>19</v>
      </c>
      <c r="B1" s="151" t="s">
        <v>91</v>
      </c>
      <c r="C1" s="151" t="s">
        <v>93</v>
      </c>
      <c r="D1" s="158" t="s">
        <v>92</v>
      </c>
      <c r="E1" s="159"/>
      <c r="F1" s="159"/>
      <c r="G1" s="159"/>
      <c r="H1" s="159"/>
      <c r="I1" s="159"/>
      <c r="J1" s="159"/>
      <c r="K1" s="159"/>
      <c r="L1" s="159"/>
      <c r="M1" s="159"/>
      <c r="N1" s="159"/>
      <c r="O1" s="159"/>
      <c r="P1" s="159"/>
      <c r="Q1" s="159"/>
      <c r="R1" s="159"/>
      <c r="S1" s="159"/>
      <c r="T1" s="159"/>
      <c r="U1" s="159"/>
      <c r="V1" s="159"/>
      <c r="W1" s="159"/>
      <c r="X1" s="159"/>
      <c r="Y1" s="159"/>
      <c r="Z1" s="159"/>
      <c r="AA1" s="159"/>
      <c r="AB1" s="151" t="s">
        <v>94</v>
      </c>
      <c r="AC1" s="151" t="s">
        <v>95</v>
      </c>
      <c r="AD1" s="151" t="s">
        <v>96</v>
      </c>
    </row>
    <row r="2" spans="1:30" s="100" customFormat="1" x14ac:dyDescent="0.25">
      <c r="A2" s="156"/>
      <c r="B2" s="152"/>
      <c r="C2" s="152"/>
      <c r="D2" s="154" t="s">
        <v>148</v>
      </c>
      <c r="E2" s="154"/>
      <c r="F2" s="154" t="s">
        <v>151</v>
      </c>
      <c r="G2" s="154"/>
      <c r="H2" s="154" t="s">
        <v>152</v>
      </c>
      <c r="I2" s="154"/>
      <c r="J2" s="154" t="s">
        <v>153</v>
      </c>
      <c r="K2" s="154"/>
      <c r="L2" s="154" t="s">
        <v>154</v>
      </c>
      <c r="M2" s="154"/>
      <c r="N2" s="154" t="s">
        <v>155</v>
      </c>
      <c r="O2" s="154"/>
      <c r="P2" s="154" t="s">
        <v>156</v>
      </c>
      <c r="Q2" s="154"/>
      <c r="R2" s="154" t="s">
        <v>157</v>
      </c>
      <c r="S2" s="154"/>
      <c r="T2" s="154" t="s">
        <v>158</v>
      </c>
      <c r="U2" s="154"/>
      <c r="V2" s="154" t="s">
        <v>159</v>
      </c>
      <c r="W2" s="154"/>
      <c r="X2" s="154" t="s">
        <v>160</v>
      </c>
      <c r="Y2" s="154"/>
      <c r="Z2" s="154" t="s">
        <v>161</v>
      </c>
      <c r="AA2" s="154"/>
      <c r="AB2" s="152"/>
      <c r="AC2" s="152"/>
      <c r="AD2" s="152"/>
    </row>
    <row r="3" spans="1:30" s="100" customFormat="1" ht="63" customHeight="1" x14ac:dyDescent="0.25">
      <c r="A3" s="157"/>
      <c r="B3" s="153"/>
      <c r="C3" s="153"/>
      <c r="D3" s="101" t="s">
        <v>149</v>
      </c>
      <c r="E3" s="102" t="s">
        <v>150</v>
      </c>
      <c r="F3" s="101" t="s">
        <v>149</v>
      </c>
      <c r="G3" s="102" t="s">
        <v>150</v>
      </c>
      <c r="H3" s="101" t="s">
        <v>149</v>
      </c>
      <c r="I3" s="102" t="s">
        <v>150</v>
      </c>
      <c r="J3" s="101" t="s">
        <v>149</v>
      </c>
      <c r="K3" s="102" t="s">
        <v>150</v>
      </c>
      <c r="L3" s="101" t="s">
        <v>149</v>
      </c>
      <c r="M3" s="102" t="s">
        <v>150</v>
      </c>
      <c r="N3" s="101" t="s">
        <v>149</v>
      </c>
      <c r="O3" s="102" t="s">
        <v>150</v>
      </c>
      <c r="P3" s="101" t="s">
        <v>149</v>
      </c>
      <c r="Q3" s="102" t="s">
        <v>150</v>
      </c>
      <c r="R3" s="101" t="s">
        <v>149</v>
      </c>
      <c r="S3" s="102" t="s">
        <v>150</v>
      </c>
      <c r="T3" s="101" t="s">
        <v>149</v>
      </c>
      <c r="U3" s="102" t="s">
        <v>150</v>
      </c>
      <c r="V3" s="101" t="s">
        <v>149</v>
      </c>
      <c r="W3" s="102" t="s">
        <v>150</v>
      </c>
      <c r="X3" s="101" t="s">
        <v>149</v>
      </c>
      <c r="Y3" s="102" t="s">
        <v>150</v>
      </c>
      <c r="Z3" s="101" t="s">
        <v>149</v>
      </c>
      <c r="AA3" s="102" t="s">
        <v>150</v>
      </c>
      <c r="AB3" s="153"/>
      <c r="AC3" s="153"/>
      <c r="AD3" s="153"/>
    </row>
    <row r="4" spans="1:30" ht="30" x14ac:dyDescent="0.25">
      <c r="A4" s="69" t="s">
        <v>187</v>
      </c>
      <c r="B4" s="95">
        <f>Riesgos!I5</f>
        <v>4</v>
      </c>
      <c r="C4" s="94">
        <v>2</v>
      </c>
      <c r="D4" s="103" t="s">
        <v>139</v>
      </c>
      <c r="E4" s="94">
        <f>+IF(D4="","",(LOOKUP(D4,CriterioControl,CriteriosControles!$B$2:$B$15)))</f>
        <v>5</v>
      </c>
      <c r="F4" s="103" t="s">
        <v>139</v>
      </c>
      <c r="G4" s="94">
        <f>+IF(F4="","",(LOOKUP(F4,CriterioControl,CriteriosControles!$B$2:$B$15)))</f>
        <v>5</v>
      </c>
      <c r="H4" s="103"/>
      <c r="I4" s="94" t="str">
        <f>+IF(H4="","",(LOOKUP(H4,CriterioControl,CriteriosControles!$B$2:$B$15)))</f>
        <v/>
      </c>
      <c r="J4" s="103"/>
      <c r="K4" s="94" t="str">
        <f>+IF(J4="","",(LOOKUP(J4,CriterioControl,CriteriosControles!$B$2:$B$15)))</f>
        <v/>
      </c>
      <c r="L4" s="103"/>
      <c r="M4" s="94" t="str">
        <f>+IF(L4="","",(LOOKUP(L4,CriterioControl,CriteriosControles!$B$2:$B$15)))</f>
        <v/>
      </c>
      <c r="N4" s="95"/>
      <c r="O4" s="94" t="str">
        <f>+IF(N4="","",(LOOKUP(N4,CriterioControl,CriteriosControles!$B$2:$B$15)))</f>
        <v/>
      </c>
      <c r="P4" s="95"/>
      <c r="Q4" s="94" t="str">
        <f>+IF(P4="","",(LOOKUP(P4,CriterioControl,CriteriosControles!$B$2:$B$15)))</f>
        <v/>
      </c>
      <c r="R4" s="95"/>
      <c r="S4" s="94" t="str">
        <f>+IF(R4="","",(LOOKUP(R4,CriterioControl,CriteriosControles!$B$2:$B$15)))</f>
        <v/>
      </c>
      <c r="T4" s="95"/>
      <c r="U4" s="94" t="str">
        <f>+IF(T4="","",(LOOKUP(T4,CriterioControl,CriteriosControles!$B$2:$B$15)))</f>
        <v/>
      </c>
      <c r="V4" s="95"/>
      <c r="W4" s="94" t="str">
        <f>+IF(V4="","",(LOOKUP(V4,CriterioControl,CriteriosControles!$B$2:$B$15)))</f>
        <v/>
      </c>
      <c r="X4" s="95"/>
      <c r="Y4" s="94" t="str">
        <f>+IF(X4="","",(LOOKUP(X4,CriterioControl,CriteriosControles!$B$2:$B$15)))</f>
        <v/>
      </c>
      <c r="Z4" s="95"/>
      <c r="AA4" s="94" t="str">
        <f>+IF(Z4="","",(LOOKUP(Z4,CriterioControl,CriteriosControles!$B$2:$B$15)))</f>
        <v/>
      </c>
      <c r="AB4" s="96">
        <f>(SUM(E4:AA4)/(C4*5))</f>
        <v>1</v>
      </c>
      <c r="AC4" s="96">
        <f>1-AB4</f>
        <v>0</v>
      </c>
      <c r="AD4" s="97">
        <f t="shared" ref="AD4:AD10" si="0">B4*AC4</f>
        <v>0</v>
      </c>
    </row>
    <row r="5" spans="1:30" ht="45" x14ac:dyDescent="0.25">
      <c r="A5" s="69" t="s">
        <v>188</v>
      </c>
      <c r="B5" s="95">
        <f>Riesgos!I6</f>
        <v>12</v>
      </c>
      <c r="C5" s="94">
        <v>3</v>
      </c>
      <c r="D5" s="103" t="s">
        <v>139</v>
      </c>
      <c r="E5" s="94">
        <f>+IF(D5="","",(LOOKUP(D5,CriterioControl,CriteriosControles!$B$2:$B$15)))</f>
        <v>5</v>
      </c>
      <c r="F5" s="103" t="s">
        <v>139</v>
      </c>
      <c r="G5" s="94">
        <f>+IF(F5="","",(LOOKUP(F5,CriterioControl,CriteriosControles!$B$2:$B$15)))</f>
        <v>5</v>
      </c>
      <c r="H5" s="103" t="s">
        <v>139</v>
      </c>
      <c r="I5" s="94">
        <f>+IF(H5="","",(LOOKUP(H5,CriterioControl,CriteriosControles!$B$2:$B$15)))</f>
        <v>5</v>
      </c>
      <c r="J5" s="103"/>
      <c r="K5" s="94" t="str">
        <f>+IF(J5="","",(LOOKUP(J5,CriterioControl,CriteriosControles!$B$2:$B$15)))</f>
        <v/>
      </c>
      <c r="L5" s="103"/>
      <c r="M5" s="94" t="str">
        <f>+IF(L5="","",(LOOKUP(L5,CriterioControl,CriteriosControles!$B$2:$B$15)))</f>
        <v/>
      </c>
      <c r="N5" s="95"/>
      <c r="O5" s="94" t="str">
        <f>+IF(N5="","",(LOOKUP(N5,CriterioControl,CriteriosControles!$B$2:$B$15)))</f>
        <v/>
      </c>
      <c r="P5" s="95"/>
      <c r="Q5" s="94" t="str">
        <f>+IF(P5="","",(LOOKUP(P5,CriterioControl,CriteriosControles!$B$2:$B$15)))</f>
        <v/>
      </c>
      <c r="R5" s="95"/>
      <c r="S5" s="94" t="str">
        <f>+IF(R5="","",(LOOKUP(R5,CriterioControl,CriteriosControles!$B$2:$B$15)))</f>
        <v/>
      </c>
      <c r="T5" s="95"/>
      <c r="U5" s="94" t="str">
        <f>+IF(T5="","",(LOOKUP(T5,CriterioControl,CriteriosControles!$B$2:$B$15)))</f>
        <v/>
      </c>
      <c r="V5" s="95"/>
      <c r="W5" s="94" t="str">
        <f>+IF(V5="","",(LOOKUP(V5,CriterioControl,CriteriosControles!$B$2:$B$15)))</f>
        <v/>
      </c>
      <c r="X5" s="95"/>
      <c r="Y5" s="94" t="str">
        <f>+IF(X5="","",(LOOKUP(X5,CriterioControl,CriteriosControles!$B$2:$B$15)))</f>
        <v/>
      </c>
      <c r="Z5" s="95"/>
      <c r="AA5" s="94" t="str">
        <f>+IF(Z5="","",(LOOKUP(Z5,CriterioControl,CriteriosControles!$B$2:$B$15)))</f>
        <v/>
      </c>
      <c r="AB5" s="96">
        <f t="shared" ref="AB5:AB23" si="1">(SUM(E5:AA5)/(C5*5))</f>
        <v>1</v>
      </c>
      <c r="AC5" s="96">
        <f t="shared" ref="AC5:AC16" si="2">1-AB5</f>
        <v>0</v>
      </c>
      <c r="AD5" s="97">
        <f t="shared" si="0"/>
        <v>0</v>
      </c>
    </row>
    <row r="6" spans="1:30" ht="45" x14ac:dyDescent="0.25">
      <c r="A6" s="69" t="s">
        <v>190</v>
      </c>
      <c r="B6" s="95">
        <f>Riesgos!I7</f>
        <v>12</v>
      </c>
      <c r="C6" s="94">
        <v>3</v>
      </c>
      <c r="D6" s="103" t="s">
        <v>139</v>
      </c>
      <c r="E6" s="94">
        <f>+IF(D6="","",(LOOKUP(D6,CriterioControl,CriteriosControles!$B$2:$B$15)))</f>
        <v>5</v>
      </c>
      <c r="F6" s="103" t="s">
        <v>139</v>
      </c>
      <c r="G6" s="94">
        <f>+IF(F6="","",(LOOKUP(F6,CriterioControl,CriteriosControles!$B$2:$B$15)))</f>
        <v>5</v>
      </c>
      <c r="H6" s="103" t="s">
        <v>143</v>
      </c>
      <c r="I6" s="94">
        <f>+IF(H6="","",(LOOKUP(H6,CriterioControl,CriteriosControles!$B$2:$B$15)))</f>
        <v>4</v>
      </c>
      <c r="J6" s="103"/>
      <c r="K6" s="94" t="str">
        <f>+IF(J6="","",(LOOKUP(J6,CriterioControl,CriteriosControles!$B$2:$B$15)))</f>
        <v/>
      </c>
      <c r="L6" s="103"/>
      <c r="M6" s="94" t="str">
        <f>+IF(L6="","",(LOOKUP(L6,CriterioControl,CriteriosControles!$B$2:$B$15)))</f>
        <v/>
      </c>
      <c r="N6" s="95"/>
      <c r="O6" s="94" t="str">
        <f>+IF(N6="","",(LOOKUP(N6,CriterioControl,CriteriosControles!$B$2:$B$15)))</f>
        <v/>
      </c>
      <c r="P6" s="95"/>
      <c r="Q6" s="94" t="str">
        <f>+IF(P6="","",(LOOKUP(P6,CriterioControl,CriteriosControles!$B$2:$B$15)))</f>
        <v/>
      </c>
      <c r="R6" s="95"/>
      <c r="S6" s="94" t="str">
        <f>+IF(R6="","",(LOOKUP(R6,CriterioControl,CriteriosControles!$B$2:$B$15)))</f>
        <v/>
      </c>
      <c r="T6" s="95"/>
      <c r="U6" s="94" t="str">
        <f>+IF(T6="","",(LOOKUP(T6,CriterioControl,CriteriosControles!$B$2:$B$15)))</f>
        <v/>
      </c>
      <c r="V6" s="95"/>
      <c r="W6" s="94" t="str">
        <f>+IF(V6="","",(LOOKUP(V6,CriterioControl,CriteriosControles!$B$2:$B$15)))</f>
        <v/>
      </c>
      <c r="X6" s="95"/>
      <c r="Y6" s="94" t="str">
        <f>+IF(X6="","",(LOOKUP(X6,CriterioControl,CriteriosControles!$B$2:$B$15)))</f>
        <v/>
      </c>
      <c r="Z6" s="95"/>
      <c r="AA6" s="94" t="str">
        <f>+IF(Z6="","",(LOOKUP(Z6,CriterioControl,CriteriosControles!$B$2:$B$15)))</f>
        <v/>
      </c>
      <c r="AB6" s="96">
        <f t="shared" si="1"/>
        <v>0.93333333333333335</v>
      </c>
      <c r="AC6" s="96">
        <f t="shared" si="2"/>
        <v>6.6666666666666652E-2</v>
      </c>
      <c r="AD6" s="97">
        <f t="shared" si="0"/>
        <v>0.79999999999999982</v>
      </c>
    </row>
    <row r="7" spans="1:30" ht="45" x14ac:dyDescent="0.25">
      <c r="A7" s="69" t="s">
        <v>191</v>
      </c>
      <c r="B7" s="95">
        <f>Riesgos!I8</f>
        <v>8</v>
      </c>
      <c r="C7" s="94">
        <v>2</v>
      </c>
      <c r="D7" s="103" t="s">
        <v>143</v>
      </c>
      <c r="E7" s="94">
        <f>+IF(D7="","",(LOOKUP(D7,CriterioControl,CriteriosControles!$B$2:$B$15)))</f>
        <v>4</v>
      </c>
      <c r="F7" s="103" t="s">
        <v>142</v>
      </c>
      <c r="G7" s="94">
        <f>+IF(F7="","",(LOOKUP(F7,CriterioControl,CriteriosControles!$B$2:$B$15)))</f>
        <v>3</v>
      </c>
      <c r="H7" s="103" t="s">
        <v>140</v>
      </c>
      <c r="I7" s="94">
        <f>+IF(H7="","",(LOOKUP(H7,CriterioControl,CriteriosControles!$B$2:$B$15)))</f>
        <v>1</v>
      </c>
      <c r="J7" s="103"/>
      <c r="K7" s="94" t="str">
        <f>+IF(J7="","",(LOOKUP(J7,CriterioControl,CriteriosControles!$B$2:$B$15)))</f>
        <v/>
      </c>
      <c r="L7" s="103"/>
      <c r="M7" s="94" t="str">
        <f>+IF(L7="","",(LOOKUP(L7,CriterioControl,CriteriosControles!$B$2:$B$15)))</f>
        <v/>
      </c>
      <c r="N7" s="95"/>
      <c r="O7" s="94" t="str">
        <f>+IF(N7="","",(LOOKUP(N7,CriterioControl,CriteriosControles!$B$2:$B$15)))</f>
        <v/>
      </c>
      <c r="P7" s="95"/>
      <c r="Q7" s="94" t="str">
        <f>+IF(P7="","",(LOOKUP(P7,CriterioControl,CriteriosControles!$B$2:$B$15)))</f>
        <v/>
      </c>
      <c r="R7" s="95"/>
      <c r="S7" s="94" t="str">
        <f>+IF(R7="","",(LOOKUP(R7,CriterioControl,CriteriosControles!$B$2:$B$15)))</f>
        <v/>
      </c>
      <c r="T7" s="95"/>
      <c r="U7" s="94" t="str">
        <f>+IF(T7="","",(LOOKUP(T7,CriterioControl,CriteriosControles!$B$2:$B$15)))</f>
        <v/>
      </c>
      <c r="V7" s="95"/>
      <c r="W7" s="94" t="str">
        <f>+IF(V7="","",(LOOKUP(V7,CriterioControl,CriteriosControles!$B$2:$B$15)))</f>
        <v/>
      </c>
      <c r="X7" s="95"/>
      <c r="Y7" s="94" t="str">
        <f>+IF(X7="","",(LOOKUP(X7,CriterioControl,CriteriosControles!$B$2:$B$15)))</f>
        <v/>
      </c>
      <c r="Z7" s="95"/>
      <c r="AA7" s="94" t="str">
        <f>+IF(Z7="","",(LOOKUP(Z7,CriterioControl,CriteriosControles!$B$2:$B$15)))</f>
        <v/>
      </c>
      <c r="AB7" s="96">
        <f t="shared" si="1"/>
        <v>0.8</v>
      </c>
      <c r="AC7" s="96">
        <f t="shared" si="2"/>
        <v>0.19999999999999996</v>
      </c>
      <c r="AD7" s="97">
        <f t="shared" si="0"/>
        <v>1.5999999999999996</v>
      </c>
    </row>
    <row r="8" spans="1:30" ht="45" x14ac:dyDescent="0.25">
      <c r="A8" s="69" t="s">
        <v>194</v>
      </c>
      <c r="B8" s="95">
        <f>Riesgos!I9</f>
        <v>8</v>
      </c>
      <c r="C8" s="94">
        <v>5</v>
      </c>
      <c r="D8" s="103" t="s">
        <v>139</v>
      </c>
      <c r="E8" s="94">
        <f>+IF(D8="","",(LOOKUP(D8,CriterioControl,CriteriosControles!$B$2:$B$15)))</f>
        <v>5</v>
      </c>
      <c r="F8" s="103" t="s">
        <v>139</v>
      </c>
      <c r="G8" s="94">
        <f>+IF(F8="","",(LOOKUP(F8,CriterioControl,CriteriosControles!$B$2:$B$15)))</f>
        <v>5</v>
      </c>
      <c r="H8" s="103" t="s">
        <v>139</v>
      </c>
      <c r="I8" s="94">
        <f>+IF(H8="","",(LOOKUP(H8,CriterioControl,CriteriosControles!$B$2:$B$15)))</f>
        <v>5</v>
      </c>
      <c r="J8" s="103" t="s">
        <v>140</v>
      </c>
      <c r="K8" s="94">
        <f>+IF(J8="","",(LOOKUP(J8,CriterioControl,CriteriosControles!$B$2:$B$15)))</f>
        <v>1</v>
      </c>
      <c r="L8" s="103" t="s">
        <v>136</v>
      </c>
      <c r="M8" s="94">
        <f>+IF(L8="","",(LOOKUP(L8,CriterioControl,CriteriosControles!$B$2:$B$15)))</f>
        <v>1</v>
      </c>
      <c r="N8" s="95"/>
      <c r="O8" s="94" t="str">
        <f>+IF(N8="","",(LOOKUP(N8,CriterioControl,CriteriosControles!$B$2:$B$15)))</f>
        <v/>
      </c>
      <c r="P8" s="95"/>
      <c r="Q8" s="94" t="str">
        <f>+IF(P8="","",(LOOKUP(P8,CriterioControl,CriteriosControles!$B$2:$B$15)))</f>
        <v/>
      </c>
      <c r="R8" s="95"/>
      <c r="S8" s="94" t="str">
        <f>+IF(R8="","",(LOOKUP(R8,CriterioControl,CriteriosControles!$B$2:$B$15)))</f>
        <v/>
      </c>
      <c r="T8" s="95"/>
      <c r="U8" s="94" t="str">
        <f>+IF(T8="","",(LOOKUP(T8,CriterioControl,CriteriosControles!$B$2:$B$15)))</f>
        <v/>
      </c>
      <c r="V8" s="95"/>
      <c r="W8" s="94" t="str">
        <f>+IF(V8="","",(LOOKUP(V8,CriterioControl,CriteriosControles!$B$2:$B$15)))</f>
        <v/>
      </c>
      <c r="X8" s="95"/>
      <c r="Y8" s="94" t="str">
        <f>+IF(X8="","",(LOOKUP(X8,CriterioControl,CriteriosControles!$B$2:$B$15)))</f>
        <v/>
      </c>
      <c r="Z8" s="95"/>
      <c r="AA8" s="94" t="str">
        <f>+IF(Z8="","",(LOOKUP(Z8,CriterioControl,CriteriosControles!$B$2:$B$15)))</f>
        <v/>
      </c>
      <c r="AB8" s="96">
        <f t="shared" si="1"/>
        <v>0.68</v>
      </c>
      <c r="AC8" s="96">
        <f t="shared" si="2"/>
        <v>0.31999999999999995</v>
      </c>
      <c r="AD8" s="97">
        <f t="shared" si="0"/>
        <v>2.5599999999999996</v>
      </c>
    </row>
    <row r="9" spans="1:30" ht="30" x14ac:dyDescent="0.25">
      <c r="A9" s="69" t="s">
        <v>189</v>
      </c>
      <c r="B9" s="95">
        <f>Riesgos!I10</f>
        <v>12</v>
      </c>
      <c r="C9" s="94">
        <v>2</v>
      </c>
      <c r="D9" s="103" t="s">
        <v>143</v>
      </c>
      <c r="E9" s="94">
        <f>+IF(D9="","",(LOOKUP(D9,CriterioControl,CriteriosControles!$B$2:$B$15)))</f>
        <v>4</v>
      </c>
      <c r="F9" s="103" t="s">
        <v>139</v>
      </c>
      <c r="G9" s="94">
        <f>+IF(F9="","",(LOOKUP(F9,CriterioControl,CriteriosControles!$B$2:$B$15)))</f>
        <v>5</v>
      </c>
      <c r="H9" s="103"/>
      <c r="I9" s="94" t="str">
        <f>+IF(H9="","",(LOOKUP(H9,CriterioControl,CriteriosControles!$B$2:$B$15)))</f>
        <v/>
      </c>
      <c r="J9" s="103"/>
      <c r="K9" s="94" t="str">
        <f>+IF(J9="","",(LOOKUP(J9,CriterioControl,CriteriosControles!$B$2:$B$15)))</f>
        <v/>
      </c>
      <c r="L9" s="103"/>
      <c r="M9" s="94" t="str">
        <f>+IF(L9="","",(LOOKUP(L9,CriterioControl,CriteriosControles!$B$2:$B$15)))</f>
        <v/>
      </c>
      <c r="N9" s="95"/>
      <c r="O9" s="94" t="str">
        <f>+IF(N9="","",(LOOKUP(N9,CriterioControl,CriteriosControles!$B$2:$B$15)))</f>
        <v/>
      </c>
      <c r="P9" s="95"/>
      <c r="Q9" s="94" t="str">
        <f>+IF(P9="","",(LOOKUP(P9,CriterioControl,CriteriosControles!$B$2:$B$15)))</f>
        <v/>
      </c>
      <c r="R9" s="95"/>
      <c r="S9" s="94" t="str">
        <f>+IF(R9="","",(LOOKUP(R9,CriterioControl,CriteriosControles!$B$2:$B$15)))</f>
        <v/>
      </c>
      <c r="T9" s="95"/>
      <c r="U9" s="94" t="str">
        <f>+IF(T9="","",(LOOKUP(T9,CriterioControl,CriteriosControles!$B$2:$B$15)))</f>
        <v/>
      </c>
      <c r="V9" s="95"/>
      <c r="W9" s="94" t="str">
        <f>+IF(V9="","",(LOOKUP(V9,CriterioControl,CriteriosControles!$B$2:$B$15)))</f>
        <v/>
      </c>
      <c r="X9" s="95"/>
      <c r="Y9" s="94" t="str">
        <f>+IF(X9="","",(LOOKUP(X9,CriterioControl,CriteriosControles!$B$2:$B$15)))</f>
        <v/>
      </c>
      <c r="Z9" s="95"/>
      <c r="AA9" s="94" t="str">
        <f>+IF(Z9="","",(LOOKUP(Z9,CriterioControl,CriteriosControles!$B$2:$B$15)))</f>
        <v/>
      </c>
      <c r="AB9" s="96">
        <f t="shared" si="1"/>
        <v>0.9</v>
      </c>
      <c r="AC9" s="96">
        <f t="shared" si="2"/>
        <v>9.9999999999999978E-2</v>
      </c>
      <c r="AD9" s="97">
        <f t="shared" si="0"/>
        <v>1.1999999999999997</v>
      </c>
    </row>
    <row r="10" spans="1:30" ht="25.5" x14ac:dyDescent="0.25">
      <c r="A10" s="69" t="s">
        <v>189</v>
      </c>
      <c r="B10" s="95">
        <f>Riesgos!I11</f>
        <v>0</v>
      </c>
      <c r="C10" s="94">
        <v>1</v>
      </c>
      <c r="D10" s="103" t="s">
        <v>139</v>
      </c>
      <c r="E10" s="94">
        <f>+IF(D10="","",(LOOKUP(D10,CriterioControl,CriteriosControles!$B$2:$B$15)))</f>
        <v>5</v>
      </c>
      <c r="F10" s="103"/>
      <c r="G10" s="94" t="str">
        <f>+IF(F10="","",(LOOKUP(F10,CriterioControl,CriteriosControles!$B$2:$B$15)))</f>
        <v/>
      </c>
      <c r="H10" s="103"/>
      <c r="I10" s="94" t="str">
        <f>+IF(H10="","",(LOOKUP(H10,CriterioControl,CriteriosControles!$B$2:$B$15)))</f>
        <v/>
      </c>
      <c r="J10" s="103"/>
      <c r="K10" s="94" t="str">
        <f>+IF(J10="","",(LOOKUP(J10,CriterioControl,CriteriosControles!$B$2:$B$15)))</f>
        <v/>
      </c>
      <c r="L10" s="103"/>
      <c r="M10" s="94" t="str">
        <f>+IF(L10="","",(LOOKUP(L10,CriterioControl,CriteriosControles!$B$2:$B$15)))</f>
        <v/>
      </c>
      <c r="N10" s="95"/>
      <c r="O10" s="94" t="str">
        <f>+IF(N10="","",(LOOKUP(N10,CriterioControl,CriteriosControles!$B$2:$B$15)))</f>
        <v/>
      </c>
      <c r="P10" s="95"/>
      <c r="Q10" s="94" t="str">
        <f>+IF(P10="","",(LOOKUP(P10,CriterioControl,CriteriosControles!$B$2:$B$15)))</f>
        <v/>
      </c>
      <c r="R10" s="95"/>
      <c r="S10" s="94" t="str">
        <f>+IF(R10="","",(LOOKUP(R10,CriterioControl,CriteriosControles!$B$2:$B$15)))</f>
        <v/>
      </c>
      <c r="T10" s="95"/>
      <c r="U10" s="94" t="str">
        <f>+IF(T10="","",(LOOKUP(T10,CriterioControl,CriteriosControles!$B$2:$B$15)))</f>
        <v/>
      </c>
      <c r="V10" s="95"/>
      <c r="W10" s="94" t="str">
        <f>+IF(V10="","",(LOOKUP(V10,CriterioControl,CriteriosControles!$B$2:$B$15)))</f>
        <v/>
      </c>
      <c r="X10" s="95"/>
      <c r="Y10" s="94" t="str">
        <f>+IF(X10="","",(LOOKUP(X10,CriterioControl,CriteriosControles!$B$2:$B$15)))</f>
        <v/>
      </c>
      <c r="Z10" s="95"/>
      <c r="AA10" s="94" t="str">
        <f>+IF(Z10="","",(LOOKUP(Z10,CriterioControl,CriteriosControles!$B$2:$B$15)))</f>
        <v/>
      </c>
      <c r="AB10" s="96">
        <f t="shared" si="1"/>
        <v>1</v>
      </c>
      <c r="AC10" s="96">
        <f t="shared" si="2"/>
        <v>0</v>
      </c>
      <c r="AD10" s="97">
        <f t="shared" si="0"/>
        <v>0</v>
      </c>
    </row>
    <row r="11" spans="1:30" ht="45" x14ac:dyDescent="0.25">
      <c r="A11" s="69" t="s">
        <v>190</v>
      </c>
      <c r="B11" s="95">
        <f>Riesgos!I12</f>
        <v>12</v>
      </c>
      <c r="C11" s="94">
        <v>4</v>
      </c>
      <c r="D11" s="103" t="s">
        <v>143</v>
      </c>
      <c r="E11" s="94">
        <f>+IF(D11="","",(LOOKUP(D11,CriterioControl,CriteriosControles!$B$2:$B$15)))</f>
        <v>4</v>
      </c>
      <c r="F11" s="103" t="s">
        <v>139</v>
      </c>
      <c r="G11" s="94">
        <f>+IF(F11="","",(LOOKUP(F11,CriterioControl,CriteriosControles!$B$2:$B$15)))</f>
        <v>5</v>
      </c>
      <c r="H11" s="103" t="s">
        <v>139</v>
      </c>
      <c r="I11" s="94">
        <f>+IF(H11="","",(LOOKUP(H11,CriterioControl,CriteriosControles!$B$2:$B$15)))</f>
        <v>5</v>
      </c>
      <c r="J11" s="103" t="s">
        <v>142</v>
      </c>
      <c r="K11" s="94">
        <f>+IF(J11="","",(LOOKUP(J11,CriterioControl,CriteriosControles!$B$2:$B$15)))</f>
        <v>3</v>
      </c>
      <c r="L11" s="103"/>
      <c r="M11" s="94" t="str">
        <f>+IF(L11="","",(LOOKUP(L11,CriterioControl,CriteriosControles!$B$2:$B$15)))</f>
        <v/>
      </c>
      <c r="N11" s="95"/>
      <c r="O11" s="94" t="str">
        <f>+IF(N11="","",(LOOKUP(N11,CriterioControl,CriteriosControles!$B$2:$B$15)))</f>
        <v/>
      </c>
      <c r="P11" s="95"/>
      <c r="Q11" s="94" t="str">
        <f>+IF(P11="","",(LOOKUP(P11,CriterioControl,CriteriosControles!$B$2:$B$15)))</f>
        <v/>
      </c>
      <c r="R11" s="95"/>
      <c r="S11" s="94" t="str">
        <f>+IF(R11="","",(LOOKUP(R11,CriterioControl,CriteriosControles!$B$2:$B$15)))</f>
        <v/>
      </c>
      <c r="T11" s="95"/>
      <c r="U11" s="94" t="str">
        <f>+IF(T11="","",(LOOKUP(T11,CriterioControl,CriteriosControles!$B$2:$B$15)))</f>
        <v/>
      </c>
      <c r="V11" s="95"/>
      <c r="W11" s="94" t="str">
        <f>+IF(V11="","",(LOOKUP(V11,CriterioControl,CriteriosControles!$B$2:$B$15)))</f>
        <v/>
      </c>
      <c r="X11" s="95"/>
      <c r="Y11" s="94" t="str">
        <f>+IF(X11="","",(LOOKUP(X11,CriterioControl,CriteriosControles!$B$2:$B$15)))</f>
        <v/>
      </c>
      <c r="Z11" s="95"/>
      <c r="AA11" s="94" t="str">
        <f>+IF(Z11="","",(LOOKUP(Z11,CriterioControl,CriteriosControles!$B$2:$B$15)))</f>
        <v/>
      </c>
      <c r="AB11" s="96">
        <f t="shared" si="1"/>
        <v>0.85</v>
      </c>
      <c r="AC11" s="96">
        <f t="shared" si="2"/>
        <v>0.15000000000000002</v>
      </c>
      <c r="AD11" s="97">
        <f>AC11*B11</f>
        <v>1.8000000000000003</v>
      </c>
    </row>
    <row r="12" spans="1:30" x14ac:dyDescent="0.25">
      <c r="A12" s="69" t="s">
        <v>190</v>
      </c>
      <c r="B12" s="95">
        <f>Riesgos!I13</f>
        <v>4</v>
      </c>
      <c r="C12" s="94">
        <v>1</v>
      </c>
      <c r="D12" s="103" t="s">
        <v>143</v>
      </c>
      <c r="E12" s="94">
        <f>+IF(D12="","",(LOOKUP(D12,CriterioControl,CriteriosControles!$B$2:$B$15)))</f>
        <v>4</v>
      </c>
      <c r="F12" s="103"/>
      <c r="G12" s="94" t="str">
        <f>+IF(F12="","",(LOOKUP(F12,CriterioControl,CriteriosControles!$B$2:$B$15)))</f>
        <v/>
      </c>
      <c r="H12" s="103"/>
      <c r="I12" s="94" t="str">
        <f>+IF(H12="","",(LOOKUP(H12,CriterioControl,CriteriosControles!$B$2:$B$15)))</f>
        <v/>
      </c>
      <c r="J12" s="103"/>
      <c r="K12" s="94" t="str">
        <f>+IF(J12="","",(LOOKUP(J12,CriterioControl,CriteriosControles!$B$2:$B$15)))</f>
        <v/>
      </c>
      <c r="L12" s="103"/>
      <c r="M12" s="94" t="str">
        <f>+IF(L12="","",(LOOKUP(L12,CriterioControl,CriteriosControles!$B$2:$B$15)))</f>
        <v/>
      </c>
      <c r="N12" s="95"/>
      <c r="O12" s="94" t="str">
        <f>+IF(N12="","",(LOOKUP(N12,CriterioControl,CriteriosControles!$B$2:$B$15)))</f>
        <v/>
      </c>
      <c r="P12" s="95"/>
      <c r="Q12" s="94" t="str">
        <f>+IF(P12="","",(LOOKUP(P12,CriterioControl,CriteriosControles!$B$2:$B$15)))</f>
        <v/>
      </c>
      <c r="R12" s="95"/>
      <c r="S12" s="94" t="str">
        <f>+IF(R12="","",(LOOKUP(R12,CriterioControl,CriteriosControles!$B$2:$B$15)))</f>
        <v/>
      </c>
      <c r="T12" s="95"/>
      <c r="U12" s="94" t="str">
        <f>+IF(T12="","",(LOOKUP(T12,CriterioControl,CriteriosControles!$B$2:$B$15)))</f>
        <v/>
      </c>
      <c r="V12" s="95"/>
      <c r="W12" s="94" t="str">
        <f>+IF(V12="","",(LOOKUP(V12,CriterioControl,CriteriosControles!$B$2:$B$15)))</f>
        <v/>
      </c>
      <c r="X12" s="95"/>
      <c r="Y12" s="94" t="str">
        <f>+IF(X12="","",(LOOKUP(X12,CriterioControl,CriteriosControles!$B$2:$B$15)))</f>
        <v/>
      </c>
      <c r="Z12" s="95"/>
      <c r="AA12" s="94" t="str">
        <f>+IF(Z12="","",(LOOKUP(Z12,CriterioControl,CriteriosControles!$B$2:$B$15)))</f>
        <v/>
      </c>
      <c r="AB12" s="96">
        <f t="shared" si="1"/>
        <v>0.8</v>
      </c>
      <c r="AC12" s="96">
        <f t="shared" si="2"/>
        <v>0.19999999999999996</v>
      </c>
      <c r="AD12" s="97">
        <f>AC12*B12</f>
        <v>0.79999999999999982</v>
      </c>
    </row>
    <row r="13" spans="1:30" ht="45" x14ac:dyDescent="0.25">
      <c r="A13" s="69" t="s">
        <v>193</v>
      </c>
      <c r="B13" s="95">
        <f>Riesgos!I14</f>
        <v>4</v>
      </c>
      <c r="C13" s="94">
        <v>4</v>
      </c>
      <c r="D13" s="103" t="s">
        <v>139</v>
      </c>
      <c r="E13" s="94">
        <f>+IF(D13="","",(LOOKUP(D13,CriterioControl,CriteriosControles!$B$2:$B$15)))</f>
        <v>5</v>
      </c>
      <c r="F13" s="103" t="s">
        <v>139</v>
      </c>
      <c r="G13" s="94">
        <f>+IF(F13="","",(LOOKUP(F13,CriterioControl,CriteriosControles!$B$2:$B$15)))</f>
        <v>5</v>
      </c>
      <c r="H13" s="103" t="s">
        <v>139</v>
      </c>
      <c r="I13" s="94">
        <f>+IF(H13="","",(LOOKUP(H13,CriterioControl,CriteriosControles!$B$2:$B$15)))</f>
        <v>5</v>
      </c>
      <c r="J13" s="103" t="s">
        <v>139</v>
      </c>
      <c r="K13" s="94">
        <f>+IF(J13="","",(LOOKUP(J13,CriterioControl,CriteriosControles!$B$2:$B$15)))</f>
        <v>5</v>
      </c>
      <c r="L13" s="103"/>
      <c r="M13" s="94" t="str">
        <f>+IF(L13="","",(LOOKUP(L13,CriterioControl,CriteriosControles!$B$2:$B$15)))</f>
        <v/>
      </c>
      <c r="N13" s="95"/>
      <c r="O13" s="94" t="str">
        <f>+IF(N13="","",(LOOKUP(N13,CriterioControl,CriteriosControles!$B$2:$B$15)))</f>
        <v/>
      </c>
      <c r="P13" s="95"/>
      <c r="Q13" s="94" t="str">
        <f>+IF(P13="","",(LOOKUP(P13,CriterioControl,CriteriosControles!$B$2:$B$15)))</f>
        <v/>
      </c>
      <c r="R13" s="95"/>
      <c r="S13" s="94" t="str">
        <f>+IF(R13="","",(LOOKUP(R13,CriterioControl,CriteriosControles!$B$2:$B$15)))</f>
        <v/>
      </c>
      <c r="T13" s="95"/>
      <c r="U13" s="94" t="str">
        <f>+IF(T13="","",(LOOKUP(T13,CriterioControl,CriteriosControles!$B$2:$B$15)))</f>
        <v/>
      </c>
      <c r="V13" s="95"/>
      <c r="W13" s="94" t="str">
        <f>+IF(V13="","",(LOOKUP(V13,CriterioControl,CriteriosControles!$B$2:$B$15)))</f>
        <v/>
      </c>
      <c r="X13" s="95"/>
      <c r="Y13" s="94" t="str">
        <f>+IF(X13="","",(LOOKUP(X13,CriterioControl,CriteriosControles!$B$2:$B$15)))</f>
        <v/>
      </c>
      <c r="Z13" s="95"/>
      <c r="AA13" s="94" t="str">
        <f>+IF(Z13="","",(LOOKUP(Z13,CriterioControl,CriteriosControles!$B$2:$B$15)))</f>
        <v/>
      </c>
      <c r="AB13" s="96">
        <f t="shared" si="1"/>
        <v>1</v>
      </c>
      <c r="AC13" s="96">
        <f t="shared" si="2"/>
        <v>0</v>
      </c>
      <c r="AD13" s="97">
        <f t="shared" ref="AD13:AD23" si="3">B13*AC13</f>
        <v>0</v>
      </c>
    </row>
    <row r="14" spans="1:30" ht="45" x14ac:dyDescent="0.25">
      <c r="A14" s="69" t="s">
        <v>190</v>
      </c>
      <c r="B14" s="95">
        <f>Riesgos!I15</f>
        <v>12</v>
      </c>
      <c r="C14" s="94">
        <v>4</v>
      </c>
      <c r="D14" s="103" t="s">
        <v>139</v>
      </c>
      <c r="E14" s="94">
        <f>+IF(D14="","",(LOOKUP(D14,CriterioControl,CriteriosControles!$B$2:$B$15)))</f>
        <v>5</v>
      </c>
      <c r="F14" s="103" t="s">
        <v>139</v>
      </c>
      <c r="G14" s="94">
        <f>+IF(F14="","",(LOOKUP(F14,CriterioControl,CriteriosControles!$B$2:$B$15)))</f>
        <v>5</v>
      </c>
      <c r="H14" s="103" t="s">
        <v>139</v>
      </c>
      <c r="I14" s="94">
        <f>+IF(H14="","",(LOOKUP(H14,CriterioControl,CriteriosControles!$B$2:$B$15)))</f>
        <v>5</v>
      </c>
      <c r="J14" s="103" t="s">
        <v>139</v>
      </c>
      <c r="K14" s="94">
        <f>+IF(J14="","",(LOOKUP(J14,CriterioControl,CriteriosControles!$B$2:$B$15)))</f>
        <v>5</v>
      </c>
      <c r="L14" s="103"/>
      <c r="M14" s="94" t="str">
        <f>+IF(L14="","",(LOOKUP(L14,CriterioControl,CriteriosControles!$B$2:$B$15)))</f>
        <v/>
      </c>
      <c r="N14" s="95"/>
      <c r="O14" s="94" t="str">
        <f>+IF(N14="","",(LOOKUP(N14,CriterioControl,CriteriosControles!$B$2:$B$15)))</f>
        <v/>
      </c>
      <c r="P14" s="95"/>
      <c r="Q14" s="94" t="str">
        <f>+IF(P14="","",(LOOKUP(P14,CriterioControl,CriteriosControles!$B$2:$B$15)))</f>
        <v/>
      </c>
      <c r="R14" s="95"/>
      <c r="S14" s="94" t="str">
        <f>+IF(R14="","",(LOOKUP(R14,CriterioControl,CriteriosControles!$B$2:$B$15)))</f>
        <v/>
      </c>
      <c r="T14" s="95"/>
      <c r="U14" s="94" t="str">
        <f>+IF(T14="","",(LOOKUP(T14,CriterioControl,CriteriosControles!$B$2:$B$15)))</f>
        <v/>
      </c>
      <c r="V14" s="95"/>
      <c r="W14" s="94" t="str">
        <f>+IF(V14="","",(LOOKUP(V14,CriterioControl,CriteriosControles!$B$2:$B$15)))</f>
        <v/>
      </c>
      <c r="X14" s="95"/>
      <c r="Y14" s="94" t="str">
        <f>+IF(X14="","",(LOOKUP(X14,CriterioControl,CriteriosControles!$B$2:$B$15)))</f>
        <v/>
      </c>
      <c r="Z14" s="95"/>
      <c r="AA14" s="94" t="str">
        <f>+IF(Z14="","",(LOOKUP(Z14,CriterioControl,CriteriosControles!$B$2:$B$15)))</f>
        <v/>
      </c>
      <c r="AB14" s="96">
        <f t="shared" si="1"/>
        <v>1</v>
      </c>
      <c r="AC14" s="96">
        <f t="shared" si="2"/>
        <v>0</v>
      </c>
      <c r="AD14" s="97">
        <f t="shared" si="3"/>
        <v>0</v>
      </c>
    </row>
    <row r="15" spans="1:30" ht="45" x14ac:dyDescent="0.25">
      <c r="A15" s="69" t="s">
        <v>190</v>
      </c>
      <c r="B15" s="95">
        <f>Riesgos!I16</f>
        <v>9</v>
      </c>
      <c r="C15" s="94">
        <v>4</v>
      </c>
      <c r="D15" s="103" t="s">
        <v>139</v>
      </c>
      <c r="E15" s="94">
        <f>+IF(D15="","",(LOOKUP(D15,CriterioControl,CriteriosControles!$B$2:$B$15)))</f>
        <v>5</v>
      </c>
      <c r="F15" s="103" t="s">
        <v>139</v>
      </c>
      <c r="G15" s="94">
        <f>+IF(F15="","",(LOOKUP(F15,CriterioControl,CriteriosControles!$B$2:$B$15)))</f>
        <v>5</v>
      </c>
      <c r="H15" s="103" t="s">
        <v>139</v>
      </c>
      <c r="I15" s="94">
        <f>+IF(H15="","",(LOOKUP(H15,CriterioControl,CriteriosControles!$B$2:$B$15)))</f>
        <v>5</v>
      </c>
      <c r="J15" s="103" t="s">
        <v>139</v>
      </c>
      <c r="K15" s="94">
        <f>+IF(J15="","",(LOOKUP(J15,CriterioControl,CriteriosControles!$B$2:$B$15)))</f>
        <v>5</v>
      </c>
      <c r="L15" s="103"/>
      <c r="M15" s="94" t="str">
        <f>+IF(L15="","",(LOOKUP(L15,CriterioControl,CriteriosControles!$B$2:$B$15)))</f>
        <v/>
      </c>
      <c r="N15" s="95"/>
      <c r="O15" s="94" t="str">
        <f>+IF(N15="","",(LOOKUP(N15,CriterioControl,CriteriosControles!$B$2:$B$15)))</f>
        <v/>
      </c>
      <c r="P15" s="95"/>
      <c r="Q15" s="94" t="str">
        <f>+IF(P15="","",(LOOKUP(P15,CriterioControl,CriteriosControles!$B$2:$B$15)))</f>
        <v/>
      </c>
      <c r="R15" s="95"/>
      <c r="S15" s="94" t="str">
        <f>+IF(R15="","",(LOOKUP(R15,CriterioControl,CriteriosControles!$B$2:$B$15)))</f>
        <v/>
      </c>
      <c r="T15" s="95"/>
      <c r="U15" s="94" t="str">
        <f>+IF(T15="","",(LOOKUP(T15,CriterioControl,CriteriosControles!$B$2:$B$15)))</f>
        <v/>
      </c>
      <c r="V15" s="95"/>
      <c r="W15" s="94" t="str">
        <f>+IF(V15="","",(LOOKUP(V15,CriterioControl,CriteriosControles!$B$2:$B$15)))</f>
        <v/>
      </c>
      <c r="X15" s="95"/>
      <c r="Y15" s="94" t="str">
        <f>+IF(X15="","",(LOOKUP(X15,CriterioControl,CriteriosControles!$B$2:$B$15)))</f>
        <v/>
      </c>
      <c r="Z15" s="95"/>
      <c r="AA15" s="94" t="str">
        <f>+IF(Z15="","",(LOOKUP(Z15,CriterioControl,CriteriosControles!$B$2:$B$15)))</f>
        <v/>
      </c>
      <c r="AB15" s="96">
        <f t="shared" si="1"/>
        <v>1</v>
      </c>
      <c r="AC15" s="96">
        <f t="shared" si="2"/>
        <v>0</v>
      </c>
      <c r="AD15" s="97">
        <f t="shared" si="3"/>
        <v>0</v>
      </c>
    </row>
    <row r="16" spans="1:30" ht="45" x14ac:dyDescent="0.25">
      <c r="A16" s="54" t="s">
        <v>189</v>
      </c>
      <c r="B16" s="95">
        <f>Riesgos!I17</f>
        <v>12</v>
      </c>
      <c r="C16" s="94">
        <v>3</v>
      </c>
      <c r="D16" s="103" t="s">
        <v>143</v>
      </c>
      <c r="E16" s="94">
        <f>+IF(D16="","",(LOOKUP(D16,CriterioControl,CriteriosControles!$B$2:$B$15)))</f>
        <v>4</v>
      </c>
      <c r="F16" s="103" t="s">
        <v>143</v>
      </c>
      <c r="G16" s="94">
        <f>+IF(F16="","",(LOOKUP(F16,CriterioControl,CriteriosControles!$B$2:$B$15)))</f>
        <v>4</v>
      </c>
      <c r="H16" s="103" t="s">
        <v>139</v>
      </c>
      <c r="I16" s="94">
        <f>+IF(H16="","",(LOOKUP(H16,CriterioControl,CriteriosControles!$B$2:$B$15)))</f>
        <v>5</v>
      </c>
      <c r="J16" s="103"/>
      <c r="K16" s="94" t="str">
        <f>+IF(J16="","",(LOOKUP(J16,CriterioControl,CriteriosControles!$B$2:$B$15)))</f>
        <v/>
      </c>
      <c r="L16" s="103"/>
      <c r="M16" s="94" t="str">
        <f>+IF(L16="","",(LOOKUP(L16,CriterioControl,CriteriosControles!$B$2:$B$15)))</f>
        <v/>
      </c>
      <c r="N16" s="95"/>
      <c r="O16" s="94" t="str">
        <f>+IF(N16="","",(LOOKUP(N16,CriterioControl,CriteriosControles!$B$2:$B$15)))</f>
        <v/>
      </c>
      <c r="P16" s="95"/>
      <c r="Q16" s="94" t="str">
        <f>+IF(P16="","",(LOOKUP(P16,CriterioControl,CriteriosControles!$B$2:$B$15)))</f>
        <v/>
      </c>
      <c r="R16" s="95"/>
      <c r="S16" s="94" t="str">
        <f>+IF(R16="","",(LOOKUP(R16,CriterioControl,CriteriosControles!$B$2:$B$15)))</f>
        <v/>
      </c>
      <c r="T16" s="95"/>
      <c r="U16" s="94" t="str">
        <f>+IF(T16="","",(LOOKUP(T16,CriterioControl,CriteriosControles!$B$2:$B$15)))</f>
        <v/>
      </c>
      <c r="V16" s="95"/>
      <c r="W16" s="94" t="str">
        <f>+IF(V16="","",(LOOKUP(V16,CriterioControl,CriteriosControles!$B$2:$B$15)))</f>
        <v/>
      </c>
      <c r="X16" s="95"/>
      <c r="Y16" s="94" t="str">
        <f>+IF(X16="","",(LOOKUP(X16,CriterioControl,CriteriosControles!$B$2:$B$15)))</f>
        <v/>
      </c>
      <c r="Z16" s="95"/>
      <c r="AA16" s="94" t="str">
        <f>+IF(Z16="","",(LOOKUP(Z16,CriterioControl,CriteriosControles!$B$2:$B$15)))</f>
        <v/>
      </c>
      <c r="AB16" s="96">
        <f t="shared" si="1"/>
        <v>0.8666666666666667</v>
      </c>
      <c r="AC16" s="96">
        <f t="shared" si="2"/>
        <v>0.1333333333333333</v>
      </c>
      <c r="AD16" s="97">
        <f t="shared" si="3"/>
        <v>1.5999999999999996</v>
      </c>
    </row>
    <row r="17" spans="1:30" ht="45" x14ac:dyDescent="0.25">
      <c r="A17" s="69" t="s">
        <v>190</v>
      </c>
      <c r="B17" s="95">
        <f>Riesgos!I18</f>
        <v>9</v>
      </c>
      <c r="C17" s="94">
        <v>3</v>
      </c>
      <c r="D17" s="103" t="s">
        <v>140</v>
      </c>
      <c r="E17" s="94">
        <f>+IF(D17="","",(LOOKUP(D17,CriterioControl,CriteriosControles!$B$2:$B$15)))</f>
        <v>1</v>
      </c>
      <c r="F17" s="103" t="s">
        <v>140</v>
      </c>
      <c r="G17" s="94">
        <f>+IF(F17="","",(LOOKUP(F17,CriterioControl,CriteriosControles!$B$2:$B$15)))</f>
        <v>1</v>
      </c>
      <c r="H17" s="103" t="s">
        <v>136</v>
      </c>
      <c r="I17" s="94">
        <f>+IF(H17="","",(LOOKUP(H17,CriterioControl,CriteriosControles!$B$2:$B$15)))</f>
        <v>1</v>
      </c>
      <c r="J17" s="103"/>
      <c r="K17" s="94" t="str">
        <f>+IF(J17="","",(LOOKUP(J17,CriterioControl,CriteriosControles!$B$2:$B$15)))</f>
        <v/>
      </c>
      <c r="L17" s="103"/>
      <c r="M17" s="94" t="str">
        <f>+IF(L17="","",(LOOKUP(L17,CriterioControl,CriteriosControles!$B$2:$B$15)))</f>
        <v/>
      </c>
      <c r="N17" s="95"/>
      <c r="O17" s="94" t="str">
        <f>+IF(N17="","",(LOOKUP(N17,CriterioControl,CriteriosControles!$B$2:$B$15)))</f>
        <v/>
      </c>
      <c r="P17" s="95"/>
      <c r="Q17" s="94" t="str">
        <f>+IF(P17="","",(LOOKUP(P17,CriterioControl,CriteriosControles!$B$2:$B$15)))</f>
        <v/>
      </c>
      <c r="R17" s="95"/>
      <c r="S17" s="94" t="str">
        <f>+IF(R17="","",(LOOKUP(R17,CriterioControl,CriteriosControles!$B$2:$B$15)))</f>
        <v/>
      </c>
      <c r="T17" s="95"/>
      <c r="U17" s="94" t="str">
        <f>+IF(T17="","",(LOOKUP(T17,CriterioControl,CriteriosControles!$B$2:$B$15)))</f>
        <v/>
      </c>
      <c r="V17" s="95"/>
      <c r="W17" s="94" t="str">
        <f>+IF(V17="","",(LOOKUP(V17,CriterioControl,CriteriosControles!$B$2:$B$15)))</f>
        <v/>
      </c>
      <c r="X17" s="95"/>
      <c r="Y17" s="94" t="str">
        <f>+IF(X17="","",(LOOKUP(X17,CriterioControl,CriteriosControles!$B$2:$B$15)))</f>
        <v/>
      </c>
      <c r="Z17" s="95"/>
      <c r="AA17" s="94" t="str">
        <f>+IF(Z17="","",(LOOKUP(Z17,CriterioControl,CriteriosControles!$B$2:$B$15)))</f>
        <v/>
      </c>
      <c r="AB17" s="96">
        <f t="shared" si="1"/>
        <v>0.2</v>
      </c>
      <c r="AC17" s="96">
        <f t="shared" ref="AC17:AC23" si="4">1-AB17</f>
        <v>0.8</v>
      </c>
      <c r="AD17" s="97">
        <f t="shared" si="3"/>
        <v>7.2</v>
      </c>
    </row>
    <row r="18" spans="1:30" ht="45" x14ac:dyDescent="0.25">
      <c r="A18" s="69" t="s">
        <v>190</v>
      </c>
      <c r="B18" s="95">
        <f>Riesgos!I19</f>
        <v>9</v>
      </c>
      <c r="C18" s="94">
        <v>3</v>
      </c>
      <c r="D18" s="103" t="s">
        <v>143</v>
      </c>
      <c r="E18" s="94">
        <f>+IF(D18="","",(LOOKUP(D18,CriterioControl,CriteriosControles!$B$2:$B$15)))</f>
        <v>4</v>
      </c>
      <c r="F18" s="103" t="s">
        <v>139</v>
      </c>
      <c r="G18" s="94">
        <f>+IF(F18="","",(LOOKUP(F18,CriterioControl,CriteriosControles!$B$2:$B$15)))</f>
        <v>5</v>
      </c>
      <c r="H18" s="103" t="s">
        <v>143</v>
      </c>
      <c r="I18" s="94">
        <f>+IF(H18="","",(LOOKUP(H18,CriterioControl,CriteriosControles!$B$2:$B$15)))</f>
        <v>4</v>
      </c>
      <c r="J18" s="103"/>
      <c r="K18" s="94" t="str">
        <f>+IF(J18="","",(LOOKUP(J18,CriterioControl,CriteriosControles!$B$2:$B$15)))</f>
        <v/>
      </c>
      <c r="L18" s="103"/>
      <c r="M18" s="94" t="str">
        <f>+IF(L18="","",(LOOKUP(L18,CriterioControl,CriteriosControles!$B$2:$B$15)))</f>
        <v/>
      </c>
      <c r="N18" s="95"/>
      <c r="O18" s="94" t="str">
        <f>+IF(N18="","",(LOOKUP(N18,CriterioControl,CriteriosControles!$B$2:$B$15)))</f>
        <v/>
      </c>
      <c r="P18" s="95"/>
      <c r="Q18" s="94" t="str">
        <f>+IF(P18="","",(LOOKUP(P18,CriterioControl,CriteriosControles!$B$2:$B$15)))</f>
        <v/>
      </c>
      <c r="R18" s="95"/>
      <c r="S18" s="94" t="str">
        <f>+IF(R18="","",(LOOKUP(R18,CriterioControl,CriteriosControles!$B$2:$B$15)))</f>
        <v/>
      </c>
      <c r="T18" s="95"/>
      <c r="U18" s="94" t="str">
        <f>+IF(T18="","",(LOOKUP(T18,CriterioControl,CriteriosControles!$B$2:$B$15)))</f>
        <v/>
      </c>
      <c r="V18" s="95"/>
      <c r="W18" s="94" t="str">
        <f>+IF(V18="","",(LOOKUP(V18,CriterioControl,CriteriosControles!$B$2:$B$15)))</f>
        <v/>
      </c>
      <c r="X18" s="95"/>
      <c r="Y18" s="94" t="str">
        <f>+IF(X18="","",(LOOKUP(X18,CriterioControl,CriteriosControles!$B$2:$B$15)))</f>
        <v/>
      </c>
      <c r="Z18" s="95"/>
      <c r="AA18" s="94" t="str">
        <f>+IF(Z18="","",(LOOKUP(Z18,CriterioControl,CriteriosControles!$B$2:$B$15)))</f>
        <v/>
      </c>
      <c r="AB18" s="96">
        <f t="shared" si="1"/>
        <v>0.8666666666666667</v>
      </c>
      <c r="AC18" s="96">
        <f t="shared" si="4"/>
        <v>0.1333333333333333</v>
      </c>
      <c r="AD18" s="97">
        <f t="shared" si="3"/>
        <v>1.1999999999999997</v>
      </c>
    </row>
    <row r="19" spans="1:30" ht="45" x14ac:dyDescent="0.25">
      <c r="A19" s="69" t="s">
        <v>190</v>
      </c>
      <c r="B19" s="95">
        <f>Riesgos!I20</f>
        <v>9</v>
      </c>
      <c r="C19" s="94">
        <v>4</v>
      </c>
      <c r="D19" s="103" t="s">
        <v>140</v>
      </c>
      <c r="E19" s="94">
        <f>+IF(D19="","",(LOOKUP(D19,CriterioControl,CriteriosControles!$B$2:$B$15)))</f>
        <v>1</v>
      </c>
      <c r="F19" s="103" t="s">
        <v>140</v>
      </c>
      <c r="G19" s="94">
        <f>+IF(F19="","",(LOOKUP(F19,CriterioControl,CriteriosControles!$B$2:$B$15)))</f>
        <v>1</v>
      </c>
      <c r="H19" s="103" t="s">
        <v>140</v>
      </c>
      <c r="I19" s="94">
        <f>+IF(H19="","",(LOOKUP(H19,CriterioControl,CriteriosControles!$B$2:$B$15)))</f>
        <v>1</v>
      </c>
      <c r="J19" s="103" t="s">
        <v>136</v>
      </c>
      <c r="K19" s="94">
        <f>+IF(J19="","",(LOOKUP(J19,CriterioControl,CriteriosControles!$B$2:$B$15)))</f>
        <v>1</v>
      </c>
      <c r="L19" s="103"/>
      <c r="M19" s="94" t="str">
        <f>+IF(L19="","",(LOOKUP(L19,CriterioControl,CriteriosControles!$B$2:$B$15)))</f>
        <v/>
      </c>
      <c r="N19" s="95"/>
      <c r="O19" s="94" t="str">
        <f>+IF(N19="","",(LOOKUP(N19,CriterioControl,CriteriosControles!$B$2:$B$15)))</f>
        <v/>
      </c>
      <c r="P19" s="95"/>
      <c r="Q19" s="94" t="str">
        <f>+IF(P19="","",(LOOKUP(P19,CriterioControl,CriteriosControles!$B$2:$B$15)))</f>
        <v/>
      </c>
      <c r="R19" s="95"/>
      <c r="S19" s="94" t="str">
        <f>+IF(R19="","",(LOOKUP(R19,CriterioControl,CriteriosControles!$B$2:$B$15)))</f>
        <v/>
      </c>
      <c r="T19" s="95"/>
      <c r="U19" s="94" t="str">
        <f>+IF(T19="","",(LOOKUP(T19,CriterioControl,CriteriosControles!$B$2:$B$15)))</f>
        <v/>
      </c>
      <c r="V19" s="95"/>
      <c r="W19" s="94" t="str">
        <f>+IF(V19="","",(LOOKUP(V19,CriterioControl,CriteriosControles!$B$2:$B$15)))</f>
        <v/>
      </c>
      <c r="X19" s="95"/>
      <c r="Y19" s="94" t="str">
        <f>+IF(X19="","",(LOOKUP(X19,CriterioControl,CriteriosControles!$B$2:$B$15)))</f>
        <v/>
      </c>
      <c r="Z19" s="95"/>
      <c r="AA19" s="94" t="str">
        <f>+IF(Z19="","",(LOOKUP(Z19,CriterioControl,CriteriosControles!$B$2:$B$15)))</f>
        <v/>
      </c>
      <c r="AB19" s="96">
        <f t="shared" si="1"/>
        <v>0.2</v>
      </c>
      <c r="AC19" s="96">
        <f t="shared" si="4"/>
        <v>0.8</v>
      </c>
      <c r="AD19" s="97">
        <f t="shared" si="3"/>
        <v>7.2</v>
      </c>
    </row>
    <row r="20" spans="1:30" ht="30" x14ac:dyDescent="0.25">
      <c r="A20" s="69" t="s">
        <v>190</v>
      </c>
      <c r="B20" s="95">
        <f>Riesgos!I21</f>
        <v>9</v>
      </c>
      <c r="C20" s="94">
        <v>2</v>
      </c>
      <c r="D20" s="103" t="s">
        <v>139</v>
      </c>
      <c r="E20" s="94">
        <f>+IF(D20="","",(LOOKUP(D20,CriterioControl,CriteriosControles!$B$2:$B$15)))</f>
        <v>5</v>
      </c>
      <c r="F20" s="103" t="s">
        <v>139</v>
      </c>
      <c r="G20" s="94">
        <f>+IF(F20="","",(LOOKUP(F20,CriterioControl,CriteriosControles!$B$2:$B$15)))</f>
        <v>5</v>
      </c>
      <c r="H20" s="103"/>
      <c r="I20" s="94" t="str">
        <f>+IF(H20="","",(LOOKUP(H20,CriterioControl,CriteriosControles!$B$2:$B$15)))</f>
        <v/>
      </c>
      <c r="J20" s="103"/>
      <c r="K20" s="94" t="str">
        <f>+IF(J20="","",(LOOKUP(J20,CriterioControl,CriteriosControles!$B$2:$B$15)))</f>
        <v/>
      </c>
      <c r="L20" s="103"/>
      <c r="M20" s="94" t="str">
        <f>+IF(L20="","",(LOOKUP(L20,CriterioControl,CriteriosControles!$B$2:$B$15)))</f>
        <v/>
      </c>
      <c r="N20" s="95"/>
      <c r="O20" s="94" t="str">
        <f>+IF(N20="","",(LOOKUP(N20,CriterioControl,CriteriosControles!$B$2:$B$15)))</f>
        <v/>
      </c>
      <c r="P20" s="95"/>
      <c r="Q20" s="94" t="str">
        <f>+IF(P20="","",(LOOKUP(P20,CriterioControl,CriteriosControles!$B$2:$B$15)))</f>
        <v/>
      </c>
      <c r="R20" s="95"/>
      <c r="S20" s="94" t="str">
        <f>+IF(R20="","",(LOOKUP(R20,CriterioControl,CriteriosControles!$B$2:$B$15)))</f>
        <v/>
      </c>
      <c r="T20" s="95"/>
      <c r="U20" s="94" t="str">
        <f>+IF(T20="","",(LOOKUP(T20,CriterioControl,CriteriosControles!$B$2:$B$15)))</f>
        <v/>
      </c>
      <c r="V20" s="95"/>
      <c r="W20" s="94" t="str">
        <f>+IF(V20="","",(LOOKUP(V20,CriterioControl,CriteriosControles!$B$2:$B$15)))</f>
        <v/>
      </c>
      <c r="X20" s="95"/>
      <c r="Y20" s="94" t="str">
        <f>+IF(X20="","",(LOOKUP(X20,CriterioControl,CriteriosControles!$B$2:$B$15)))</f>
        <v/>
      </c>
      <c r="Z20" s="95"/>
      <c r="AA20" s="94" t="str">
        <f>+IF(Z20="","",(LOOKUP(Z20,CriterioControl,CriteriosControles!$B$2:$B$15)))</f>
        <v/>
      </c>
      <c r="AB20" s="96">
        <f t="shared" si="1"/>
        <v>1</v>
      </c>
      <c r="AC20" s="96">
        <f t="shared" si="4"/>
        <v>0</v>
      </c>
      <c r="AD20" s="97">
        <f t="shared" si="3"/>
        <v>0</v>
      </c>
    </row>
    <row r="21" spans="1:30" x14ac:dyDescent="0.25">
      <c r="A21" s="93"/>
      <c r="B21" s="95">
        <f>Riesgos!I22</f>
        <v>0</v>
      </c>
      <c r="C21" s="94"/>
      <c r="D21" s="103"/>
      <c r="E21" s="94" t="str">
        <f>+IF(D21="","",(LOOKUP(D21,CriterioControl,CriteriosControles!$B$2:$B$15)))</f>
        <v/>
      </c>
      <c r="F21" s="103"/>
      <c r="G21" s="94" t="str">
        <f>+IF(F21="","",(LOOKUP(F21,CriterioControl,CriteriosControles!$B$2:$B$15)))</f>
        <v/>
      </c>
      <c r="H21" s="103"/>
      <c r="I21" s="94" t="str">
        <f>+IF(H21="","",(LOOKUP(H21,CriterioControl,CriteriosControles!$B$2:$B$15)))</f>
        <v/>
      </c>
      <c r="J21" s="103"/>
      <c r="K21" s="94" t="str">
        <f>+IF(J21="","",(LOOKUP(J21,CriterioControl,CriteriosControles!$B$2:$B$15)))</f>
        <v/>
      </c>
      <c r="L21" s="103"/>
      <c r="M21" s="94" t="str">
        <f>+IF(L21="","",(LOOKUP(L21,CriterioControl,CriteriosControles!$B$2:$B$15)))</f>
        <v/>
      </c>
      <c r="N21" s="95"/>
      <c r="O21" s="94" t="str">
        <f>+IF(N21="","",(LOOKUP(N21,CriterioControl,CriteriosControles!$B$2:$B$15)))</f>
        <v/>
      </c>
      <c r="P21" s="95"/>
      <c r="Q21" s="94" t="str">
        <f>+IF(P21="","",(LOOKUP(P21,CriterioControl,CriteriosControles!$B$2:$B$15)))</f>
        <v/>
      </c>
      <c r="R21" s="95"/>
      <c r="S21" s="94" t="str">
        <f>+IF(R21="","",(LOOKUP(R21,CriterioControl,CriteriosControles!$B$2:$B$15)))</f>
        <v/>
      </c>
      <c r="T21" s="95"/>
      <c r="U21" s="94" t="str">
        <f>+IF(T21="","",(LOOKUP(T21,CriterioControl,CriteriosControles!$B$2:$B$15)))</f>
        <v/>
      </c>
      <c r="V21" s="95"/>
      <c r="W21" s="94" t="str">
        <f>+IF(V21="","",(LOOKUP(V21,CriterioControl,CriteriosControles!$B$2:$B$15)))</f>
        <v/>
      </c>
      <c r="X21" s="95"/>
      <c r="Y21" s="94" t="str">
        <f>+IF(X21="","",(LOOKUP(X21,CriterioControl,CriteriosControles!$B$2:$B$15)))</f>
        <v/>
      </c>
      <c r="Z21" s="95"/>
      <c r="AA21" s="94" t="str">
        <f>+IF(Z21="","",(LOOKUP(Z21,CriterioControl,CriteriosControles!$B$2:$B$15)))</f>
        <v/>
      </c>
      <c r="AB21" s="96" t="e">
        <f t="shared" si="1"/>
        <v>#DIV/0!</v>
      </c>
      <c r="AC21" s="96" t="e">
        <f t="shared" si="4"/>
        <v>#DIV/0!</v>
      </c>
      <c r="AD21" s="97" t="e">
        <f t="shared" si="3"/>
        <v>#DIV/0!</v>
      </c>
    </row>
    <row r="22" spans="1:30" x14ac:dyDescent="0.25">
      <c r="A22" s="93">
        <f>Riesgos!C23</f>
        <v>0</v>
      </c>
      <c r="B22" s="95">
        <f>Riesgos!I23</f>
        <v>0</v>
      </c>
      <c r="C22" s="94"/>
      <c r="D22" s="103"/>
      <c r="E22" s="94" t="str">
        <f>+IF(D22="","",(LOOKUP(D22,CriterioControl,CriteriosControles!$B$2:$B$15)))</f>
        <v/>
      </c>
      <c r="F22" s="103"/>
      <c r="G22" s="94" t="str">
        <f>+IF(F22="","",(LOOKUP(F22,CriterioControl,CriteriosControles!$B$2:$B$15)))</f>
        <v/>
      </c>
      <c r="H22" s="103"/>
      <c r="I22" s="94" t="str">
        <f>+IF(H22="","",(LOOKUP(H22,CriterioControl,CriteriosControles!$B$2:$B$15)))</f>
        <v/>
      </c>
      <c r="J22" s="103"/>
      <c r="K22" s="94" t="str">
        <f>+IF(J22="","",(LOOKUP(J22,CriterioControl,CriteriosControles!$B$2:$B$15)))</f>
        <v/>
      </c>
      <c r="L22" s="103"/>
      <c r="M22" s="94" t="str">
        <f>+IF(L22="","",(LOOKUP(L22,CriterioControl,CriteriosControles!$B$2:$B$15)))</f>
        <v/>
      </c>
      <c r="N22" s="95"/>
      <c r="O22" s="94" t="str">
        <f>+IF(N22="","",(LOOKUP(N22,CriterioControl,CriteriosControles!$B$2:$B$15)))</f>
        <v/>
      </c>
      <c r="P22" s="95"/>
      <c r="Q22" s="94" t="str">
        <f>+IF(P22="","",(LOOKUP(P22,CriterioControl,CriteriosControles!$B$2:$B$15)))</f>
        <v/>
      </c>
      <c r="R22" s="95"/>
      <c r="S22" s="94" t="str">
        <f>+IF(R22="","",(LOOKUP(R22,CriterioControl,CriteriosControles!$B$2:$B$15)))</f>
        <v/>
      </c>
      <c r="T22" s="95"/>
      <c r="U22" s="94" t="str">
        <f>+IF(T22="","",(LOOKUP(T22,CriterioControl,CriteriosControles!$B$2:$B$15)))</f>
        <v/>
      </c>
      <c r="V22" s="95"/>
      <c r="W22" s="94" t="str">
        <f>+IF(V22="","",(LOOKUP(V22,CriterioControl,CriteriosControles!$B$2:$B$15)))</f>
        <v/>
      </c>
      <c r="X22" s="95"/>
      <c r="Y22" s="94" t="str">
        <f>+IF(X22="","",(LOOKUP(X22,CriterioControl,CriteriosControles!$B$2:$B$15)))</f>
        <v/>
      </c>
      <c r="Z22" s="95"/>
      <c r="AA22" s="94" t="str">
        <f>+IF(Z22="","",(LOOKUP(Z22,CriterioControl,CriteriosControles!$B$2:$B$15)))</f>
        <v/>
      </c>
      <c r="AB22" s="96" t="e">
        <f t="shared" si="1"/>
        <v>#DIV/0!</v>
      </c>
      <c r="AC22" s="96" t="e">
        <f t="shared" si="4"/>
        <v>#DIV/0!</v>
      </c>
      <c r="AD22" s="97" t="e">
        <f t="shared" si="3"/>
        <v>#DIV/0!</v>
      </c>
    </row>
    <row r="23" spans="1:30" x14ac:dyDescent="0.25">
      <c r="A23" s="93">
        <f>Riesgos!C24</f>
        <v>0</v>
      </c>
      <c r="B23" s="95">
        <f>Riesgos!I24</f>
        <v>0</v>
      </c>
      <c r="C23" s="94"/>
      <c r="D23" s="103"/>
      <c r="E23" s="94" t="str">
        <f>+IF(D23="","",(LOOKUP(D23,CriterioControl,CriteriosControles!$B$2:$B$15)))</f>
        <v/>
      </c>
      <c r="F23" s="103"/>
      <c r="G23" s="94" t="str">
        <f>+IF(F23="","",(LOOKUP(F23,CriterioControl,CriteriosControles!$B$2:$B$15)))</f>
        <v/>
      </c>
      <c r="H23" s="103"/>
      <c r="I23" s="94" t="str">
        <f>+IF(H23="","",(LOOKUP(H23,CriterioControl,CriteriosControles!$B$2:$B$15)))</f>
        <v/>
      </c>
      <c r="J23" s="103"/>
      <c r="K23" s="94" t="str">
        <f>+IF(J23="","",(LOOKUP(J23,CriterioControl,CriteriosControles!$B$2:$B$15)))</f>
        <v/>
      </c>
      <c r="L23" s="103"/>
      <c r="M23" s="94" t="str">
        <f>+IF(L23="","",(LOOKUP(L23,CriterioControl,CriteriosControles!$B$2:$B$15)))</f>
        <v/>
      </c>
      <c r="N23" s="95"/>
      <c r="O23" s="94" t="str">
        <f>+IF(N23="","",(LOOKUP(N23,CriterioControl,CriteriosControles!$B$2:$B$15)))</f>
        <v/>
      </c>
      <c r="P23" s="95"/>
      <c r="Q23" s="94" t="str">
        <f>+IF(P23="","",(LOOKUP(P23,CriterioControl,CriteriosControles!$B$2:$B$15)))</f>
        <v/>
      </c>
      <c r="R23" s="95"/>
      <c r="S23" s="94" t="str">
        <f>+IF(R23="","",(LOOKUP(R23,CriterioControl,CriteriosControles!$B$2:$B$15)))</f>
        <v/>
      </c>
      <c r="T23" s="95"/>
      <c r="U23" s="94" t="str">
        <f>+IF(T23="","",(LOOKUP(T23,CriterioControl,CriteriosControles!$B$2:$B$15)))</f>
        <v/>
      </c>
      <c r="V23" s="95"/>
      <c r="W23" s="94" t="str">
        <f>+IF(V23="","",(LOOKUP(V23,CriterioControl,CriteriosControles!$B$2:$B$15)))</f>
        <v/>
      </c>
      <c r="X23" s="95"/>
      <c r="Y23" s="94" t="str">
        <f>+IF(X23="","",(LOOKUP(X23,CriterioControl,CriteriosControles!$B$2:$B$15)))</f>
        <v/>
      </c>
      <c r="Z23" s="95"/>
      <c r="AA23" s="94" t="str">
        <f>+IF(Z23="","",(LOOKUP(Z23,CriterioControl,CriteriosControles!$B$2:$B$15)))</f>
        <v/>
      </c>
      <c r="AB23" s="96" t="e">
        <f t="shared" si="1"/>
        <v>#DIV/0!</v>
      </c>
      <c r="AC23" s="96" t="e">
        <f t="shared" si="4"/>
        <v>#DIV/0!</v>
      </c>
      <c r="AD23" s="97" t="e">
        <f t="shared" si="3"/>
        <v>#DIV/0!</v>
      </c>
    </row>
  </sheetData>
  <sheetProtection selectLockedCells="1"/>
  <mergeCells count="19">
    <mergeCell ref="D2:E2"/>
    <mergeCell ref="A1:A3"/>
    <mergeCell ref="D1:AA1"/>
    <mergeCell ref="B1:B3"/>
    <mergeCell ref="F2:G2"/>
    <mergeCell ref="H2:I2"/>
    <mergeCell ref="J2:K2"/>
    <mergeCell ref="L2:M2"/>
    <mergeCell ref="N2:O2"/>
    <mergeCell ref="P2:Q2"/>
    <mergeCell ref="R2:S2"/>
    <mergeCell ref="T2:U2"/>
    <mergeCell ref="C1:C3"/>
    <mergeCell ref="AC1:AC3"/>
    <mergeCell ref="AD1:AD3"/>
    <mergeCell ref="V2:W2"/>
    <mergeCell ref="X2:Y2"/>
    <mergeCell ref="Z2:AA2"/>
    <mergeCell ref="AB1:AB3"/>
  </mergeCells>
  <conditionalFormatting sqref="E25:I1048576 E24:H24 D1 E4:E23">
    <cfRule type="cellIs" dxfId="22" priority="44" operator="notEqual">
      <formula>""</formula>
    </cfRule>
  </conditionalFormatting>
  <conditionalFormatting sqref="G4:G23">
    <cfRule type="cellIs" dxfId="21" priority="11" operator="notEqual">
      <formula>""</formula>
    </cfRule>
  </conditionalFormatting>
  <conditionalFormatting sqref="I4:I23">
    <cfRule type="cellIs" dxfId="20" priority="10" operator="notEqual">
      <formula>""</formula>
    </cfRule>
  </conditionalFormatting>
  <conditionalFormatting sqref="K4:K23">
    <cfRule type="cellIs" dxfId="19" priority="9" operator="notEqual">
      <formula>""</formula>
    </cfRule>
  </conditionalFormatting>
  <conditionalFormatting sqref="M4:M23">
    <cfRule type="cellIs" dxfId="18" priority="8" operator="notEqual">
      <formula>""</formula>
    </cfRule>
  </conditionalFormatting>
  <conditionalFormatting sqref="O4:O23">
    <cfRule type="cellIs" dxfId="17" priority="7" operator="notEqual">
      <formula>""</formula>
    </cfRule>
  </conditionalFormatting>
  <conditionalFormatting sqref="Q4:Q23">
    <cfRule type="cellIs" dxfId="16" priority="6" operator="notEqual">
      <formula>""</formula>
    </cfRule>
  </conditionalFormatting>
  <conditionalFormatting sqref="S4:S23">
    <cfRule type="cellIs" dxfId="15" priority="5" operator="notEqual">
      <formula>""</formula>
    </cfRule>
  </conditionalFormatting>
  <conditionalFormatting sqref="U4:U23">
    <cfRule type="cellIs" dxfId="14" priority="4" operator="notEqual">
      <formula>""</formula>
    </cfRule>
  </conditionalFormatting>
  <conditionalFormatting sqref="W4:W23">
    <cfRule type="cellIs" dxfId="13" priority="3" operator="notEqual">
      <formula>""</formula>
    </cfRule>
  </conditionalFormatting>
  <conditionalFormatting sqref="Y4:Y23">
    <cfRule type="cellIs" dxfId="12" priority="2" operator="notEqual">
      <formula>""</formula>
    </cfRule>
  </conditionalFormatting>
  <conditionalFormatting sqref="AA4:AA23">
    <cfRule type="cellIs" dxfId="11" priority="1" operator="notEqual">
      <formula>""</formula>
    </cfRule>
  </conditionalFormatting>
  <dataValidations count="1">
    <dataValidation type="list" allowBlank="1" showInputMessage="1" showErrorMessage="1" sqref="D4:D23 F4:F23 H4:H23 J4:J23 L4:L23 N4:N23 P4:P23 R4:R23 T4:T23 V4:V23 X4:X23 Z4:Z23" xr:uid="{00000000-0002-0000-0300-000000000000}">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workbookViewId="0">
      <selection activeCell="B20" sqref="B20"/>
    </sheetView>
  </sheetViews>
  <sheetFormatPr baseColWidth="10" defaultRowHeight="15" x14ac:dyDescent="0.25"/>
  <cols>
    <col min="1" max="1" width="46.5703125" bestFit="1" customWidth="1"/>
  </cols>
  <sheetData>
    <row r="1" spans="1:2" x14ac:dyDescent="0.25">
      <c r="A1" s="160" t="s">
        <v>131</v>
      </c>
      <c r="B1" s="160"/>
    </row>
    <row r="2" spans="1:2" x14ac:dyDescent="0.25">
      <c r="A2" t="s">
        <v>134</v>
      </c>
      <c r="B2" s="92" t="s">
        <v>132</v>
      </c>
    </row>
    <row r="3" spans="1:2" x14ac:dyDescent="0.25">
      <c r="A3" t="s">
        <v>135</v>
      </c>
      <c r="B3" s="92" t="s">
        <v>133</v>
      </c>
    </row>
    <row r="4" spans="1:2" x14ac:dyDescent="0.25">
      <c r="A4" t="s">
        <v>136</v>
      </c>
      <c r="B4" s="92">
        <v>1</v>
      </c>
    </row>
    <row r="5" spans="1:2" x14ac:dyDescent="0.25">
      <c r="A5" t="s">
        <v>137</v>
      </c>
      <c r="B5" s="92">
        <v>1</v>
      </c>
    </row>
    <row r="6" spans="1:2" x14ac:dyDescent="0.25">
      <c r="A6" t="s">
        <v>138</v>
      </c>
      <c r="B6" s="92">
        <v>4</v>
      </c>
    </row>
    <row r="7" spans="1:2" x14ac:dyDescent="0.25">
      <c r="A7" t="s">
        <v>139</v>
      </c>
      <c r="B7" s="92">
        <v>5</v>
      </c>
    </row>
    <row r="8" spans="1:2" x14ac:dyDescent="0.25">
      <c r="A8" t="s">
        <v>140</v>
      </c>
      <c r="B8" s="92">
        <v>1</v>
      </c>
    </row>
    <row r="9" spans="1:2" x14ac:dyDescent="0.25">
      <c r="A9" t="s">
        <v>141</v>
      </c>
      <c r="B9" s="92">
        <v>1</v>
      </c>
    </row>
    <row r="10" spans="1:2" x14ac:dyDescent="0.25">
      <c r="A10" t="s">
        <v>142</v>
      </c>
      <c r="B10" s="92">
        <v>3</v>
      </c>
    </row>
    <row r="11" spans="1:2" x14ac:dyDescent="0.25">
      <c r="A11" t="s">
        <v>143</v>
      </c>
      <c r="B11" s="92">
        <v>4</v>
      </c>
    </row>
    <row r="12" spans="1:2" x14ac:dyDescent="0.25">
      <c r="A12" t="s">
        <v>144</v>
      </c>
      <c r="B12" s="92">
        <v>1</v>
      </c>
    </row>
    <row r="13" spans="1:2" x14ac:dyDescent="0.25">
      <c r="A13" t="s">
        <v>145</v>
      </c>
      <c r="B13" s="92">
        <v>1</v>
      </c>
    </row>
    <row r="14" spans="1:2" x14ac:dyDescent="0.25">
      <c r="A14" t="s">
        <v>146</v>
      </c>
      <c r="B14" s="92">
        <v>2</v>
      </c>
    </row>
    <row r="15" spans="1:2" x14ac:dyDescent="0.25">
      <c r="A15" t="s">
        <v>147</v>
      </c>
      <c r="B15" s="92">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topLeftCell="A16" workbookViewId="0">
      <selection activeCell="D27" sqref="D27"/>
    </sheetView>
  </sheetViews>
  <sheetFormatPr baseColWidth="10" defaultRowHeight="15" x14ac:dyDescent="0.25"/>
  <cols>
    <col min="1" max="1" width="46.5703125" bestFit="1" customWidth="1"/>
    <col min="4" max="4" width="108.140625" bestFit="1" customWidth="1"/>
    <col min="5" max="5" width="61.42578125" bestFit="1" customWidth="1"/>
  </cols>
  <sheetData>
    <row r="1" spans="1:4" x14ac:dyDescent="0.25">
      <c r="A1" s="160"/>
      <c r="B1" s="160"/>
    </row>
    <row r="2" spans="1:4" x14ac:dyDescent="0.25">
      <c r="B2" s="92"/>
    </row>
    <row r="3" spans="1:4" ht="15.75" thickBot="1" x14ac:dyDescent="0.3">
      <c r="B3" s="92"/>
    </row>
    <row r="4" spans="1:4" ht="24.95" customHeight="1" thickBot="1" x14ac:dyDescent="0.3">
      <c r="B4" s="111" t="s">
        <v>117</v>
      </c>
      <c r="C4" s="112" t="s">
        <v>195</v>
      </c>
      <c r="D4" s="113" t="s">
        <v>196</v>
      </c>
    </row>
    <row r="5" spans="1:4" ht="24.95" customHeight="1" x14ac:dyDescent="0.25">
      <c r="B5" s="161" t="s">
        <v>197</v>
      </c>
      <c r="C5" s="164">
        <v>1</v>
      </c>
      <c r="D5" s="114" t="s">
        <v>206</v>
      </c>
    </row>
    <row r="6" spans="1:4" ht="24.95" customHeight="1" x14ac:dyDescent="0.25">
      <c r="B6" s="162"/>
      <c r="C6" s="165"/>
      <c r="D6" s="114" t="s">
        <v>207</v>
      </c>
    </row>
    <row r="7" spans="1:4" ht="24.95" customHeight="1" thickBot="1" x14ac:dyDescent="0.3">
      <c r="B7" s="163"/>
      <c r="C7" s="166"/>
      <c r="D7" s="115" t="s">
        <v>208</v>
      </c>
    </row>
    <row r="8" spans="1:4" ht="24.95" customHeight="1" x14ac:dyDescent="0.25">
      <c r="B8" s="161" t="s">
        <v>198</v>
      </c>
      <c r="C8" s="164">
        <v>2</v>
      </c>
      <c r="D8" s="114" t="s">
        <v>209</v>
      </c>
    </row>
    <row r="9" spans="1:4" ht="24.95" customHeight="1" x14ac:dyDescent="0.25">
      <c r="B9" s="162"/>
      <c r="C9" s="165"/>
      <c r="D9" s="114" t="s">
        <v>210</v>
      </c>
    </row>
    <row r="10" spans="1:4" ht="24.95" customHeight="1" thickBot="1" x14ac:dyDescent="0.3">
      <c r="B10" s="163"/>
      <c r="C10" s="166"/>
      <c r="D10" s="115" t="s">
        <v>211</v>
      </c>
    </row>
    <row r="11" spans="1:4" ht="24.95" customHeight="1" x14ac:dyDescent="0.25">
      <c r="B11" s="161" t="s">
        <v>199</v>
      </c>
      <c r="C11" s="164">
        <v>3</v>
      </c>
      <c r="D11" s="114" t="s">
        <v>200</v>
      </c>
    </row>
    <row r="12" spans="1:4" ht="24.95" customHeight="1" x14ac:dyDescent="0.25">
      <c r="B12" s="162"/>
      <c r="C12" s="165"/>
      <c r="D12" s="114" t="s">
        <v>212</v>
      </c>
    </row>
    <row r="13" spans="1:4" ht="24.95" customHeight="1" x14ac:dyDescent="0.25">
      <c r="B13" s="162"/>
      <c r="C13" s="165"/>
      <c r="D13" s="114" t="s">
        <v>213</v>
      </c>
    </row>
    <row r="14" spans="1:4" ht="24.95" customHeight="1" x14ac:dyDescent="0.25">
      <c r="B14" s="162"/>
      <c r="C14" s="165"/>
      <c r="D14" s="114" t="s">
        <v>214</v>
      </c>
    </row>
    <row r="15" spans="1:4" ht="24.95" customHeight="1" x14ac:dyDescent="0.25">
      <c r="B15" s="162"/>
      <c r="C15" s="165"/>
      <c r="D15" s="114" t="s">
        <v>215</v>
      </c>
    </row>
    <row r="16" spans="1:4" ht="24.95" customHeight="1" thickBot="1" x14ac:dyDescent="0.3">
      <c r="B16" s="163"/>
      <c r="C16" s="166"/>
      <c r="D16" s="115" t="s">
        <v>201</v>
      </c>
    </row>
    <row r="17" spans="2:4" ht="24.95" customHeight="1" x14ac:dyDescent="0.25">
      <c r="B17" s="161" t="s">
        <v>202</v>
      </c>
      <c r="C17" s="164">
        <v>4</v>
      </c>
      <c r="D17" s="114" t="s">
        <v>203</v>
      </c>
    </row>
    <row r="18" spans="2:4" ht="24.95" customHeight="1" x14ac:dyDescent="0.25">
      <c r="B18" s="162"/>
      <c r="C18" s="165"/>
      <c r="D18" s="114" t="s">
        <v>216</v>
      </c>
    </row>
    <row r="19" spans="2:4" ht="24.95" customHeight="1" x14ac:dyDescent="0.25">
      <c r="B19" s="162"/>
      <c r="C19" s="165"/>
      <c r="D19" s="114" t="s">
        <v>217</v>
      </c>
    </row>
    <row r="20" spans="2:4" ht="24.95" customHeight="1" x14ac:dyDescent="0.25">
      <c r="B20" s="162"/>
      <c r="C20" s="165"/>
      <c r="D20" s="114" t="s">
        <v>218</v>
      </c>
    </row>
    <row r="21" spans="2:4" ht="24.95" customHeight="1" thickBot="1" x14ac:dyDescent="0.3">
      <c r="B21" s="163"/>
      <c r="C21" s="166"/>
      <c r="D21" s="115" t="s">
        <v>219</v>
      </c>
    </row>
    <row r="22" spans="2:4" ht="24.95" customHeight="1" x14ac:dyDescent="0.25">
      <c r="B22" s="161" t="s">
        <v>204</v>
      </c>
      <c r="C22" s="164">
        <v>5</v>
      </c>
      <c r="D22" s="114" t="s">
        <v>205</v>
      </c>
    </row>
    <row r="23" spans="2:4" ht="24.95" customHeight="1" x14ac:dyDescent="0.25">
      <c r="B23" s="162"/>
      <c r="C23" s="165"/>
      <c r="D23" s="114" t="s">
        <v>220</v>
      </c>
    </row>
    <row r="24" spans="2:4" ht="24.95" customHeight="1" x14ac:dyDescent="0.25">
      <c r="B24" s="162"/>
      <c r="C24" s="165"/>
      <c r="D24" s="114" t="s">
        <v>221</v>
      </c>
    </row>
    <row r="25" spans="2:4" ht="24.95" customHeight="1" x14ac:dyDescent="0.25">
      <c r="B25" s="162"/>
      <c r="C25" s="165"/>
      <c r="D25" s="114" t="s">
        <v>222</v>
      </c>
    </row>
    <row r="26" spans="2:4" ht="24.95" customHeight="1" thickBot="1" x14ac:dyDescent="0.3">
      <c r="B26" s="163"/>
      <c r="C26" s="166"/>
      <c r="D26" s="115" t="s">
        <v>223</v>
      </c>
    </row>
  </sheetData>
  <mergeCells count="11">
    <mergeCell ref="B17:B21"/>
    <mergeCell ref="C17:C21"/>
    <mergeCell ref="B22:B26"/>
    <mergeCell ref="C22:C26"/>
    <mergeCell ref="A1:B1"/>
    <mergeCell ref="B5:B7"/>
    <mergeCell ref="C5:C7"/>
    <mergeCell ref="B8:B10"/>
    <mergeCell ref="C8:C10"/>
    <mergeCell ref="B11:B16"/>
    <mergeCell ref="C11:C16"/>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A8" zoomScaleNormal="100" zoomScalePageLayoutView="125" workbookViewId="0">
      <selection activeCell="I27" sqref="I27"/>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113</v>
      </c>
      <c r="M1" s="47" t="s">
        <v>118</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104" t="s">
        <v>162</v>
      </c>
      <c r="J2" s="46"/>
      <c r="K2" s="49" t="s">
        <v>98</v>
      </c>
      <c r="L2" s="49" t="s">
        <v>103</v>
      </c>
      <c r="M2" s="49" t="s">
        <v>108</v>
      </c>
      <c r="N2" s="49" t="s">
        <v>44</v>
      </c>
      <c r="O2" s="49" t="s">
        <v>4</v>
      </c>
      <c r="P2" s="49" t="s">
        <v>44</v>
      </c>
      <c r="Q2" s="49" t="s">
        <v>2</v>
      </c>
      <c r="R2" s="49" t="s">
        <v>119</v>
      </c>
      <c r="S2" s="50">
        <v>1</v>
      </c>
      <c r="T2" s="49" t="s">
        <v>49</v>
      </c>
      <c r="U2" s="46"/>
      <c r="V2" s="46"/>
    </row>
    <row r="3" spans="1:22" ht="15.75" thickBot="1" x14ac:dyDescent="0.3">
      <c r="C3" s="17" t="s">
        <v>57</v>
      </c>
      <c r="E3" s="49" t="s">
        <v>10</v>
      </c>
      <c r="F3" s="49" t="s">
        <v>29</v>
      </c>
      <c r="G3" s="49" t="s">
        <v>33</v>
      </c>
      <c r="H3" s="49" t="s">
        <v>19</v>
      </c>
      <c r="I3" s="104" t="s">
        <v>163</v>
      </c>
      <c r="J3" s="46"/>
      <c r="K3" s="49" t="s">
        <v>99</v>
      </c>
      <c r="L3" s="49" t="s">
        <v>104</v>
      </c>
      <c r="M3" s="49" t="s">
        <v>109</v>
      </c>
      <c r="N3" s="49" t="s">
        <v>83</v>
      </c>
      <c r="O3" s="49" t="s">
        <v>6</v>
      </c>
      <c r="P3" s="49" t="s">
        <v>78</v>
      </c>
      <c r="Q3" s="49" t="s">
        <v>5</v>
      </c>
      <c r="R3" s="49" t="s">
        <v>120</v>
      </c>
      <c r="S3" s="50">
        <v>2</v>
      </c>
      <c r="T3" s="49" t="s">
        <v>50</v>
      </c>
      <c r="U3" s="46"/>
      <c r="V3" s="46"/>
    </row>
    <row r="4" spans="1:22" ht="19.5" thickBot="1" x14ac:dyDescent="0.3">
      <c r="C4" s="8">
        <v>5</v>
      </c>
      <c r="E4" s="49"/>
      <c r="F4" s="49" t="s">
        <v>30</v>
      </c>
      <c r="G4" s="49" t="s">
        <v>41</v>
      </c>
      <c r="H4" s="49" t="s">
        <v>1</v>
      </c>
      <c r="I4" s="105" t="s">
        <v>164</v>
      </c>
      <c r="J4" s="46"/>
      <c r="K4" s="49" t="s">
        <v>100</v>
      </c>
      <c r="L4" s="49" t="s">
        <v>105</v>
      </c>
      <c r="M4" s="49" t="s">
        <v>110</v>
      </c>
      <c r="N4" s="49" t="s">
        <v>82</v>
      </c>
      <c r="O4" s="49" t="s">
        <v>3</v>
      </c>
      <c r="P4" s="49" t="s">
        <v>77</v>
      </c>
      <c r="Q4" s="49" t="s">
        <v>3</v>
      </c>
      <c r="R4" s="49" t="s">
        <v>121</v>
      </c>
      <c r="S4" s="50">
        <v>3</v>
      </c>
      <c r="T4" s="49" t="s">
        <v>51</v>
      </c>
      <c r="U4" s="46"/>
      <c r="V4" s="46"/>
    </row>
    <row r="5" spans="1:22" ht="15.75" thickBot="1" x14ac:dyDescent="0.3">
      <c r="E5" s="49"/>
      <c r="F5" s="49" t="s">
        <v>31</v>
      </c>
      <c r="G5" s="49" t="s">
        <v>32</v>
      </c>
      <c r="H5" s="49" t="s">
        <v>22</v>
      </c>
      <c r="I5" s="106" t="s">
        <v>165</v>
      </c>
      <c r="J5" s="46"/>
      <c r="K5" s="49" t="s">
        <v>101</v>
      </c>
      <c r="L5" s="49" t="s">
        <v>106</v>
      </c>
      <c r="M5" s="49" t="s">
        <v>111</v>
      </c>
      <c r="N5" s="49" t="s">
        <v>81</v>
      </c>
      <c r="O5" s="49" t="s">
        <v>5</v>
      </c>
      <c r="P5" s="49" t="s">
        <v>76</v>
      </c>
      <c r="Q5" s="49" t="s">
        <v>6</v>
      </c>
      <c r="R5" s="49" t="s">
        <v>122</v>
      </c>
      <c r="S5" s="50">
        <v>4</v>
      </c>
      <c r="T5" s="49" t="s">
        <v>52</v>
      </c>
      <c r="U5" s="46"/>
      <c r="V5" s="46"/>
    </row>
    <row r="6" spans="1:22" ht="15.75" thickBot="1" x14ac:dyDescent="0.3">
      <c r="E6" s="49"/>
      <c r="F6" s="49"/>
      <c r="G6" s="49" t="s">
        <v>34</v>
      </c>
      <c r="H6" s="49"/>
      <c r="I6" s="106" t="s">
        <v>166</v>
      </c>
      <c r="J6" s="46"/>
      <c r="K6" s="49" t="s">
        <v>102</v>
      </c>
      <c r="L6" s="49" t="s">
        <v>107</v>
      </c>
      <c r="M6" s="49" t="s">
        <v>112</v>
      </c>
      <c r="N6" s="49" t="s">
        <v>84</v>
      </c>
      <c r="O6" s="49" t="s">
        <v>2</v>
      </c>
      <c r="P6" s="49" t="s">
        <v>75</v>
      </c>
      <c r="Q6" s="49" t="s">
        <v>46</v>
      </c>
      <c r="R6" s="49" t="s">
        <v>123</v>
      </c>
      <c r="S6" s="50">
        <v>5</v>
      </c>
      <c r="T6" s="49" t="s">
        <v>53</v>
      </c>
      <c r="U6" s="46"/>
      <c r="V6" s="46"/>
    </row>
    <row r="7" spans="1:22" ht="15.75" thickBot="1" x14ac:dyDescent="0.3">
      <c r="E7" s="49"/>
      <c r="F7" s="49"/>
      <c r="G7" s="49" t="s">
        <v>42</v>
      </c>
      <c r="H7" s="49"/>
      <c r="I7" s="106" t="s">
        <v>167</v>
      </c>
      <c r="J7" s="46"/>
      <c r="K7" s="46"/>
      <c r="L7" s="51"/>
      <c r="M7" s="46"/>
      <c r="N7" s="46"/>
      <c r="O7" s="46"/>
      <c r="P7" s="46"/>
      <c r="Q7" s="46"/>
      <c r="R7" s="46"/>
      <c r="S7" s="46"/>
      <c r="T7" s="46"/>
      <c r="U7" s="46"/>
      <c r="V7" s="46"/>
    </row>
    <row r="8" spans="1:22" ht="15.75" thickBot="1" x14ac:dyDescent="0.3">
      <c r="E8" s="49"/>
      <c r="F8" s="49"/>
      <c r="G8" s="49" t="s">
        <v>37</v>
      </c>
      <c r="H8" s="49"/>
      <c r="I8" s="106" t="s">
        <v>168</v>
      </c>
      <c r="J8" s="46"/>
      <c r="K8" s="46"/>
      <c r="L8" s="51"/>
      <c r="M8" s="46"/>
      <c r="N8" s="46"/>
      <c r="O8" s="46"/>
      <c r="P8" s="46"/>
      <c r="Q8" s="46"/>
      <c r="R8" s="46"/>
      <c r="S8" s="46"/>
      <c r="T8" s="46"/>
      <c r="U8" s="46"/>
      <c r="V8" s="46"/>
    </row>
    <row r="9" spans="1:22" ht="15.75" thickBot="1" x14ac:dyDescent="0.3">
      <c r="A9" s="1" t="s">
        <v>66</v>
      </c>
      <c r="E9" s="49"/>
      <c r="F9" s="49"/>
      <c r="G9" s="49" t="s">
        <v>38</v>
      </c>
      <c r="H9" s="49"/>
      <c r="I9" s="106" t="s">
        <v>169</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106" t="s">
        <v>170</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106" t="s">
        <v>171</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106" t="s">
        <v>172</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106" t="s">
        <v>173</v>
      </c>
      <c r="J13" s="51"/>
      <c r="K13" s="51"/>
      <c r="L13" s="51"/>
      <c r="M13" s="51"/>
      <c r="N13" s="74"/>
      <c r="O13" s="74"/>
      <c r="P13" s="74"/>
      <c r="Q13" s="74"/>
      <c r="R13" s="74"/>
      <c r="S13" s="46"/>
      <c r="T13" s="46"/>
      <c r="U13" s="46"/>
      <c r="V13" s="46"/>
    </row>
    <row r="14" spans="1:22" ht="15.75" thickBot="1" x14ac:dyDescent="0.3">
      <c r="A14" s="18" t="str">
        <f>T3</f>
        <v>Oportunidad abandonada</v>
      </c>
      <c r="C14" s="19" t="e">
        <f>COUNTIF(#REF!,Listas!A14)</f>
        <v>#REF!</v>
      </c>
      <c r="E14" s="52"/>
      <c r="F14" s="52"/>
      <c r="G14" s="52"/>
      <c r="H14" s="52"/>
      <c r="I14" s="106" t="s">
        <v>174</v>
      </c>
      <c r="J14" s="52"/>
      <c r="K14" s="52"/>
      <c r="L14" s="52"/>
      <c r="M14" s="52"/>
      <c r="N14" s="75"/>
      <c r="O14" s="75"/>
      <c r="P14" s="75"/>
      <c r="Q14" s="75"/>
      <c r="R14" s="75"/>
      <c r="S14" s="46"/>
      <c r="T14" s="46"/>
      <c r="U14" s="46"/>
      <c r="V14" s="46"/>
    </row>
    <row r="15" spans="1:22" ht="15.75" thickBot="1" x14ac:dyDescent="0.3">
      <c r="A15" s="18" t="str">
        <f>T4</f>
        <v>Se trataron algunas expectativas</v>
      </c>
      <c r="C15" s="19" t="e">
        <f>COUNTIF(#REF!,Listas!A15)</f>
        <v>#REF!</v>
      </c>
      <c r="E15" s="10"/>
      <c r="F15" s="10"/>
      <c r="G15" s="10"/>
      <c r="H15" s="10"/>
      <c r="I15" s="106" t="s">
        <v>175</v>
      </c>
      <c r="J15" s="10"/>
      <c r="K15" s="10"/>
      <c r="L15" s="10"/>
      <c r="M15" s="10"/>
      <c r="N15" s="76"/>
      <c r="O15" s="76"/>
      <c r="P15" s="76"/>
      <c r="Q15" s="76"/>
      <c r="R15" s="76"/>
      <c r="V15" s="12" t="s">
        <v>62</v>
      </c>
    </row>
    <row r="16" spans="1:22" ht="30.75" thickBot="1" x14ac:dyDescent="0.3">
      <c r="A16" s="18" t="str">
        <f>T5</f>
        <v>Se trataron todas las expectativas</v>
      </c>
      <c r="C16" s="19" t="e">
        <f>COUNTIF(#REF!,Listas!A16)</f>
        <v>#REF!</v>
      </c>
      <c r="E16" s="10"/>
      <c r="F16" s="10"/>
      <c r="G16" s="10"/>
      <c r="H16" s="10"/>
      <c r="I16" s="106" t="s">
        <v>176</v>
      </c>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106" t="s">
        <v>177</v>
      </c>
      <c r="J17" s="11"/>
      <c r="K17" s="11"/>
      <c r="L17" s="11"/>
      <c r="M17" s="11"/>
      <c r="N17" s="11"/>
      <c r="O17" s="11"/>
      <c r="P17" s="11"/>
      <c r="Q17" s="11"/>
      <c r="R17" s="11"/>
      <c r="V17" s="12"/>
    </row>
    <row r="18" spans="1:22" ht="15.75" thickBot="1" x14ac:dyDescent="0.3">
      <c r="E18" s="10"/>
      <c r="F18" s="10"/>
      <c r="G18" s="10"/>
      <c r="H18" s="10"/>
      <c r="I18" s="106" t="s">
        <v>178</v>
      </c>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106" t="s">
        <v>179</v>
      </c>
      <c r="J19" s="11"/>
      <c r="K19" s="11"/>
      <c r="L19" s="11"/>
      <c r="M19" s="11"/>
      <c r="N19" s="11"/>
      <c r="O19" s="11"/>
      <c r="P19" s="11"/>
      <c r="Q19" s="11"/>
      <c r="R19" s="11"/>
      <c r="V19" s="12"/>
    </row>
    <row r="20" spans="1:22" ht="15.75" thickBot="1" x14ac:dyDescent="0.3">
      <c r="A20" s="1" t="s">
        <v>67</v>
      </c>
      <c r="E20" s="10"/>
      <c r="F20" s="10"/>
      <c r="G20" s="10"/>
      <c r="H20" s="10"/>
      <c r="I20" s="106" t="s">
        <v>180</v>
      </c>
      <c r="J20" s="11"/>
      <c r="K20" s="11"/>
      <c r="L20" s="11"/>
      <c r="M20" s="11"/>
      <c r="N20" s="11"/>
      <c r="O20" s="11"/>
      <c r="P20" s="11"/>
      <c r="Q20" s="11"/>
      <c r="R20" s="11"/>
      <c r="V20" s="12"/>
    </row>
    <row r="21" spans="1:22" ht="30.75" thickBot="1" x14ac:dyDescent="0.3">
      <c r="A21" s="18" t="s">
        <v>71</v>
      </c>
      <c r="C21" s="19">
        <f>COUNTA(Riesgos!C5:C111)</f>
        <v>18</v>
      </c>
      <c r="E21" s="10"/>
      <c r="F21" s="10"/>
      <c r="G21" s="10"/>
      <c r="H21" s="10"/>
      <c r="I21" s="106" t="s">
        <v>181</v>
      </c>
      <c r="J21" s="11"/>
      <c r="K21" s="11"/>
      <c r="L21" s="11"/>
      <c r="M21" s="11"/>
      <c r="N21" s="11"/>
      <c r="O21" s="11"/>
      <c r="P21" s="11"/>
      <c r="Q21" s="11"/>
      <c r="R21" s="11"/>
      <c r="V21" s="13" t="s">
        <v>64</v>
      </c>
    </row>
    <row r="22" spans="1:22" ht="30.75" thickBot="1" x14ac:dyDescent="0.3">
      <c r="A22" s="18" t="s">
        <v>72</v>
      </c>
      <c r="C22" s="19">
        <f>COUNTIF(Riesgos!I5:I111,"&gt;="&amp;Listas!C2)</f>
        <v>13</v>
      </c>
      <c r="I22" s="106" t="s">
        <v>182</v>
      </c>
      <c r="V22" s="13" t="s">
        <v>65</v>
      </c>
    </row>
    <row r="23" spans="1:22" ht="15.75" thickBot="1" x14ac:dyDescent="0.3">
      <c r="A23" s="18" t="s">
        <v>73</v>
      </c>
      <c r="C23" s="19">
        <f>C21-C22-C24</f>
        <v>1</v>
      </c>
      <c r="I23" s="106" t="s">
        <v>183</v>
      </c>
      <c r="V23" s="12"/>
    </row>
    <row r="24" spans="1:22" ht="15.75" thickBot="1" x14ac:dyDescent="0.3">
      <c r="A24" s="18" t="s">
        <v>74</v>
      </c>
      <c r="C24" s="19">
        <f>COUNTIF(Riesgos!I5:I111,"&lt;"&amp;Listas!C4)</f>
        <v>4</v>
      </c>
      <c r="I24" s="106" t="s">
        <v>184</v>
      </c>
      <c r="V24" s="12" t="str">
        <f>CONCATENATE(V21,A2,V22)</f>
        <v>Plan de persecución de oportunidades 
(sugerida para factor de oportunidades &gt;=8) 
Puede referenciar a documentos de planificación externa</v>
      </c>
    </row>
    <row r="25" spans="1:22" ht="15.75" thickBot="1" x14ac:dyDescent="0.3">
      <c r="I25" s="106" t="s">
        <v>185</v>
      </c>
      <c r="V25" s="12"/>
    </row>
    <row r="26" spans="1:22" ht="15.75" thickBot="1" x14ac:dyDescent="0.3">
      <c r="I26" s="106" t="s">
        <v>186</v>
      </c>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Partes</vt:lpstr>
      <vt:lpstr>Cuestiones</vt:lpstr>
      <vt:lpstr>Riesgos</vt:lpstr>
      <vt:lpstr>Calificacion Controles</vt:lpstr>
      <vt:lpstr>CriteriosControles</vt:lpstr>
      <vt:lpstr>CriteriosImpacto</vt:lpstr>
      <vt:lpstr>Listas</vt:lpstr>
      <vt:lpstr>Riesgos!Área_de_impresión</vt:lpstr>
      <vt:lpstr>'Calificacion Controles'!correction</vt:lpstr>
      <vt:lpstr>'Calificacion Controles'!cost</vt:lpstr>
      <vt:lpstr>CriteriosImpacto!CriterioControl</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Riesgos!Títulos_a_imprimir</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KARICUE RODRIGUEZ</cp:lastModifiedBy>
  <cp:lastPrinted>2019-05-06T14:59:02Z</cp:lastPrinted>
  <dcterms:created xsi:type="dcterms:W3CDTF">2015-08-31T12:23:57Z</dcterms:created>
  <dcterms:modified xsi:type="dcterms:W3CDTF">2021-01-25T20:39:45Z</dcterms:modified>
  <cp:category>ISO 9001:2015;Procedimientos</cp:category>
</cp:coreProperties>
</file>