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G:\Plan Indicativo\"/>
    </mc:Choice>
  </mc:AlternateContent>
  <xr:revisionPtr revIDLastSave="0" documentId="8_{2668848C-376E-46FA-BA74-AAB49B1F855B}" xr6:coauthVersionLast="47" xr6:coauthVersionMax="47" xr10:uidLastSave="{00000000-0000-0000-0000-000000000000}"/>
  <bookViews>
    <workbookView xWindow="20370" yWindow="-120" windowWidth="20730" windowHeight="11160" xr2:uid="{00000000-000D-0000-FFFF-FFFF00000000}"/>
  </bookViews>
  <sheets>
    <sheet name="SOY BARRANQUILLA" sheetId="1" r:id="rId1"/>
    <sheet name="nuevoss" sheetId="3" r:id="rId2"/>
  </sheets>
  <externalReferences>
    <externalReference r:id="rId3"/>
    <externalReference r:id="rId4"/>
  </externalReferences>
  <definedNames>
    <definedName name="_xlnm._FilterDatabase" localSheetId="0" hidden="1">'SOY BARRANQUILLA'!$A$3:$EC$549</definedName>
    <definedName name="_Orientación">[1]Catálogo!$B$9134:$B$9136</definedName>
    <definedName name="_RelaciónODS">[1]ODS!$A$2:$A$19</definedName>
    <definedName name="Sectores_de_inversión">[1]Catálogo!$B$5:$B$21</definedName>
    <definedName name="Víctimas">[1]Víctimas!$A$2:$A$25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0" i="1" l="1"/>
  <c r="F289" i="1"/>
  <c r="F288" i="1"/>
  <c r="F287" i="1"/>
  <c r="F286" i="1"/>
  <c r="F285" i="1"/>
  <c r="F284" i="1"/>
  <c r="F283" i="1"/>
  <c r="F276" i="1"/>
  <c r="F275" i="1"/>
  <c r="F274" i="1"/>
  <c r="F273" i="1" l="1"/>
  <c r="AI266" i="1"/>
  <c r="AB266" i="1"/>
  <c r="V266" i="1"/>
  <c r="AB256" i="1"/>
  <c r="V256" i="1"/>
  <c r="AQ10" i="1" l="1"/>
  <c r="AQ9" i="1"/>
  <c r="AP10" i="1"/>
  <c r="AP9" i="1"/>
  <c r="AJ10" i="1"/>
  <c r="AJ9" i="1"/>
  <c r="AI10" i="1"/>
  <c r="AI9" i="1"/>
  <c r="AC10" i="1"/>
  <c r="AC9" i="1"/>
  <c r="AB10" i="1"/>
  <c r="AB9" i="1"/>
  <c r="W10" i="1"/>
  <c r="W9" i="1"/>
  <c r="V10" i="1"/>
  <c r="V9" i="1"/>
  <c r="AI477" i="1" l="1"/>
  <c r="AI475" i="1"/>
  <c r="AI474" i="1"/>
  <c r="AY474" i="1" s="1"/>
  <c r="AI473" i="1"/>
  <c r="AY473" i="1" s="1"/>
  <c r="AP480" i="1"/>
  <c r="AZ480" i="1" s="1"/>
  <c r="AP482" i="1"/>
  <c r="AZ482" i="1" s="1"/>
  <c r="AP475" i="1"/>
  <c r="AP474" i="1"/>
  <c r="AZ474" i="1" s="1"/>
  <c r="AP473" i="1"/>
  <c r="AZ473" i="1" s="1"/>
  <c r="AP426" i="1"/>
  <c r="AZ426" i="1" s="1"/>
  <c r="AP425" i="1"/>
  <c r="AZ425" i="1" s="1"/>
  <c r="AP369" i="1"/>
  <c r="AZ369" i="1" s="1"/>
  <c r="AP368" i="1"/>
  <c r="AP17" i="1"/>
  <c r="AZ17" i="1" s="1"/>
  <c r="AZ5" i="1"/>
  <c r="AZ7" i="1"/>
  <c r="AZ8" i="1"/>
  <c r="AZ9" i="1"/>
  <c r="AZ10" i="1"/>
  <c r="AZ11" i="1"/>
  <c r="AZ12" i="1"/>
  <c r="AZ13" i="1"/>
  <c r="AZ14" i="1"/>
  <c r="AZ16" i="1"/>
  <c r="AZ19" i="1"/>
  <c r="AZ20" i="1"/>
  <c r="AZ21" i="1"/>
  <c r="AZ22"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2" i="1"/>
  <c r="AZ83" i="1"/>
  <c r="AZ84" i="1"/>
  <c r="AZ85" i="1"/>
  <c r="AZ86" i="1"/>
  <c r="AZ87" i="1"/>
  <c r="AZ88" i="1"/>
  <c r="AZ89" i="1"/>
  <c r="AZ90" i="1"/>
  <c r="AZ91" i="1"/>
  <c r="AZ92" i="1"/>
  <c r="AZ93" i="1"/>
  <c r="AZ96" i="1"/>
  <c r="AZ97" i="1"/>
  <c r="AZ98" i="1"/>
  <c r="AZ99" i="1"/>
  <c r="AZ100" i="1"/>
  <c r="AZ101" i="1"/>
  <c r="AZ102" i="1"/>
  <c r="AZ103" i="1"/>
  <c r="AZ104" i="1"/>
  <c r="AZ105" i="1"/>
  <c r="AZ106" i="1"/>
  <c r="AZ107" i="1"/>
  <c r="AZ108" i="1"/>
  <c r="AZ109" i="1"/>
  <c r="AZ113" i="1"/>
  <c r="AZ114" i="1"/>
  <c r="AZ117" i="1"/>
  <c r="AZ125" i="1"/>
  <c r="AZ126" i="1"/>
  <c r="AZ127" i="1"/>
  <c r="AZ128" i="1"/>
  <c r="AZ129" i="1"/>
  <c r="AZ130" i="1"/>
  <c r="AZ131" i="1"/>
  <c r="AZ132" i="1"/>
  <c r="AZ133" i="1"/>
  <c r="AZ134" i="1"/>
  <c r="AZ135" i="1"/>
  <c r="AZ136" i="1"/>
  <c r="AZ137" i="1"/>
  <c r="AZ138" i="1"/>
  <c r="AZ139" i="1"/>
  <c r="AZ140" i="1"/>
  <c r="AZ141" i="1"/>
  <c r="AZ142" i="1"/>
  <c r="AZ143" i="1"/>
  <c r="AZ144" i="1"/>
  <c r="AZ145"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4" i="1"/>
  <c r="AZ175" i="1"/>
  <c r="AZ176" i="1"/>
  <c r="AZ177" i="1"/>
  <c r="AZ178" i="1"/>
  <c r="AZ179" i="1"/>
  <c r="AZ180" i="1"/>
  <c r="AZ181" i="1"/>
  <c r="AZ182" i="1"/>
  <c r="AZ183" i="1"/>
  <c r="AZ184" i="1"/>
  <c r="AZ188" i="1"/>
  <c r="AZ190" i="1"/>
  <c r="AZ191" i="1"/>
  <c r="AZ192" i="1"/>
  <c r="AZ193" i="1"/>
  <c r="AZ194" i="1"/>
  <c r="AZ197" i="1"/>
  <c r="AZ198" i="1"/>
  <c r="AZ201" i="1"/>
  <c r="AZ202" i="1"/>
  <c r="AZ203" i="1"/>
  <c r="AZ204" i="1"/>
  <c r="AZ205" i="1"/>
  <c r="AZ206" i="1"/>
  <c r="AZ207" i="1"/>
  <c r="AZ208" i="1"/>
  <c r="AZ209" i="1"/>
  <c r="AZ210" i="1"/>
  <c r="AZ211" i="1"/>
  <c r="AZ212" i="1"/>
  <c r="AZ213" i="1"/>
  <c r="AZ214" i="1"/>
  <c r="AZ215" i="1"/>
  <c r="AZ216" i="1"/>
  <c r="AZ217" i="1"/>
  <c r="AZ218" i="1"/>
  <c r="AZ219" i="1"/>
  <c r="AZ222" i="1"/>
  <c r="AZ223" i="1"/>
  <c r="AZ224" i="1"/>
  <c r="AZ225" i="1"/>
  <c r="AZ226" i="1"/>
  <c r="AZ227" i="1"/>
  <c r="AZ228" i="1"/>
  <c r="AZ229" i="1"/>
  <c r="AZ230" i="1"/>
  <c r="AZ231" i="1"/>
  <c r="AZ232" i="1"/>
  <c r="AZ233" i="1"/>
  <c r="AZ237" i="1"/>
  <c r="AZ241" i="1"/>
  <c r="AZ242" i="1"/>
  <c r="AZ243" i="1"/>
  <c r="AZ244" i="1"/>
  <c r="AZ245" i="1"/>
  <c r="AZ248" i="1"/>
  <c r="AZ249" i="1"/>
  <c r="AZ250" i="1"/>
  <c r="AZ251" i="1"/>
  <c r="AZ252" i="1"/>
  <c r="AZ253" i="1"/>
  <c r="AZ254" i="1"/>
  <c r="AZ255" i="1"/>
  <c r="AZ256" i="1"/>
  <c r="AZ257" i="1"/>
  <c r="AZ258" i="1"/>
  <c r="AZ259" i="1"/>
  <c r="AZ260" i="1"/>
  <c r="AZ261" i="1"/>
  <c r="AZ262" i="1"/>
  <c r="AZ263" i="1"/>
  <c r="AZ264" i="1"/>
  <c r="AZ265" i="1"/>
  <c r="AZ266" i="1"/>
  <c r="AZ267" i="1"/>
  <c r="AZ268" i="1"/>
  <c r="AZ269" i="1"/>
  <c r="AZ271" i="1"/>
  <c r="AZ272" i="1"/>
  <c r="AZ273" i="1"/>
  <c r="AZ274" i="1"/>
  <c r="AZ275" i="1"/>
  <c r="AZ276" i="1"/>
  <c r="AZ277" i="1"/>
  <c r="AZ278" i="1"/>
  <c r="AZ279" i="1"/>
  <c r="AZ280" i="1"/>
  <c r="AZ281" i="1"/>
  <c r="AZ282" i="1"/>
  <c r="AZ285" i="1"/>
  <c r="AZ287" i="1"/>
  <c r="AZ288" i="1"/>
  <c r="AZ289" i="1"/>
  <c r="AZ290" i="1"/>
  <c r="AZ291" i="1"/>
  <c r="AZ292" i="1"/>
  <c r="AZ293" i="1"/>
  <c r="AZ294" i="1"/>
  <c r="AZ295" i="1"/>
  <c r="AZ296" i="1"/>
  <c r="AZ297" i="1"/>
  <c r="AZ298" i="1"/>
  <c r="AZ299" i="1"/>
  <c r="AZ300" i="1"/>
  <c r="AZ301" i="1"/>
  <c r="AZ302" i="1"/>
  <c r="AZ304" i="1"/>
  <c r="AZ305" i="1"/>
  <c r="AZ309" i="1"/>
  <c r="AZ311" i="1"/>
  <c r="AZ312" i="1"/>
  <c r="AZ313" i="1"/>
  <c r="AZ314" i="1"/>
  <c r="AZ315" i="1"/>
  <c r="AZ316" i="1"/>
  <c r="AZ317" i="1"/>
  <c r="AZ318" i="1"/>
  <c r="AZ319" i="1"/>
  <c r="AZ320" i="1"/>
  <c r="AZ322" i="1"/>
  <c r="AZ323" i="1"/>
  <c r="AZ324" i="1"/>
  <c r="AZ325" i="1"/>
  <c r="AZ326" i="1"/>
  <c r="AZ327" i="1"/>
  <c r="AZ328" i="1"/>
  <c r="AZ329" i="1"/>
  <c r="AZ331" i="1"/>
  <c r="AZ332" i="1"/>
  <c r="AZ334" i="1"/>
  <c r="AZ335" i="1"/>
  <c r="AZ336" i="1"/>
  <c r="AZ337" i="1"/>
  <c r="AZ338" i="1"/>
  <c r="AZ339" i="1"/>
  <c r="AZ340" i="1"/>
  <c r="AZ341" i="1"/>
  <c r="AZ342" i="1"/>
  <c r="AZ345" i="1"/>
  <c r="AZ346" i="1"/>
  <c r="AZ347" i="1"/>
  <c r="AZ348" i="1"/>
  <c r="AZ349" i="1"/>
  <c r="AZ350" i="1"/>
  <c r="AZ351" i="1"/>
  <c r="AZ352" i="1"/>
  <c r="AZ353" i="1"/>
  <c r="AZ354" i="1"/>
  <c r="AZ355" i="1"/>
  <c r="AZ356" i="1"/>
  <c r="AZ357" i="1"/>
  <c r="AZ358" i="1"/>
  <c r="AZ359" i="1"/>
  <c r="AZ360" i="1"/>
  <c r="AZ361" i="1"/>
  <c r="AZ362" i="1"/>
  <c r="AZ363" i="1"/>
  <c r="AZ364" i="1"/>
  <c r="AZ365" i="1"/>
  <c r="AZ366" i="1"/>
  <c r="AZ367" i="1"/>
  <c r="AZ368" i="1"/>
  <c r="AZ370" i="1"/>
  <c r="AZ373" i="1"/>
  <c r="AZ374" i="1"/>
  <c r="AZ375" i="1"/>
  <c r="AZ376" i="1"/>
  <c r="AZ377" i="1"/>
  <c r="AZ378" i="1"/>
  <c r="AZ379" i="1"/>
  <c r="AZ380" i="1"/>
  <c r="AZ381" i="1"/>
  <c r="AZ382" i="1"/>
  <c r="AZ383" i="1"/>
  <c r="AZ384" i="1"/>
  <c r="AZ387" i="1"/>
  <c r="AZ389" i="1"/>
  <c r="AZ390" i="1"/>
  <c r="AZ391" i="1"/>
  <c r="AZ392" i="1"/>
  <c r="AZ396" i="1"/>
  <c r="AZ397" i="1"/>
  <c r="AZ398" i="1"/>
  <c r="AZ399" i="1"/>
  <c r="AZ400" i="1"/>
  <c r="AZ401" i="1"/>
  <c r="AZ402" i="1"/>
  <c r="AZ403" i="1"/>
  <c r="AZ410" i="1"/>
  <c r="AZ415" i="1"/>
  <c r="AZ416" i="1"/>
  <c r="AZ417" i="1"/>
  <c r="AZ418" i="1"/>
  <c r="AZ419" i="1"/>
  <c r="AZ420" i="1"/>
  <c r="AZ421" i="1"/>
  <c r="AZ422" i="1"/>
  <c r="AZ423" i="1"/>
  <c r="AZ424" i="1"/>
  <c r="AZ427" i="1"/>
  <c r="AZ428" i="1"/>
  <c r="AZ429" i="1"/>
  <c r="AZ430" i="1"/>
  <c r="AZ431" i="1"/>
  <c r="AZ432" i="1"/>
  <c r="AZ433" i="1"/>
  <c r="AZ434" i="1"/>
  <c r="AZ435" i="1"/>
  <c r="AZ437" i="1"/>
  <c r="AZ438" i="1"/>
  <c r="AZ439" i="1"/>
  <c r="AZ440" i="1"/>
  <c r="AZ441" i="1"/>
  <c r="AZ442" i="1"/>
  <c r="AZ443" i="1"/>
  <c r="AZ444" i="1"/>
  <c r="AZ445" i="1"/>
  <c r="AZ447" i="1"/>
  <c r="AZ449" i="1"/>
  <c r="AZ450" i="1"/>
  <c r="AZ451" i="1"/>
  <c r="AZ452" i="1"/>
  <c r="AZ453" i="1"/>
  <c r="AZ454" i="1"/>
  <c r="AZ455" i="1"/>
  <c r="AZ456" i="1"/>
  <c r="AZ457" i="1"/>
  <c r="AZ458" i="1"/>
  <c r="AZ459" i="1"/>
  <c r="AZ460" i="1"/>
  <c r="AZ461" i="1"/>
  <c r="AZ462" i="1"/>
  <c r="AZ463" i="1"/>
  <c r="AZ464" i="1"/>
  <c r="AZ465" i="1"/>
  <c r="AZ466" i="1"/>
  <c r="AZ467" i="1"/>
  <c r="AZ468" i="1"/>
  <c r="AZ469" i="1"/>
  <c r="AZ470" i="1"/>
  <c r="AZ471" i="1"/>
  <c r="AZ472" i="1"/>
  <c r="AZ475" i="1"/>
  <c r="AZ476" i="1"/>
  <c r="AZ477" i="1"/>
  <c r="AZ478" i="1"/>
  <c r="AZ479" i="1"/>
  <c r="AZ481" i="1"/>
  <c r="AZ483" i="1"/>
  <c r="AZ490" i="1"/>
  <c r="AZ491" i="1"/>
  <c r="AZ492" i="1"/>
  <c r="AZ493" i="1"/>
  <c r="AZ494" i="1"/>
  <c r="AZ495" i="1"/>
  <c r="AZ496" i="1"/>
  <c r="AZ497" i="1"/>
  <c r="AZ498" i="1"/>
  <c r="AZ499" i="1"/>
  <c r="AZ500" i="1"/>
  <c r="AZ501" i="1"/>
  <c r="AZ502" i="1"/>
  <c r="AZ503" i="1"/>
  <c r="AZ504" i="1"/>
  <c r="AZ505" i="1"/>
  <c r="AZ506" i="1"/>
  <c r="AZ507" i="1"/>
  <c r="AZ508" i="1"/>
  <c r="AZ509" i="1"/>
  <c r="AZ510" i="1"/>
  <c r="AZ511" i="1"/>
  <c r="AZ512" i="1"/>
  <c r="AZ513" i="1"/>
  <c r="AZ514" i="1"/>
  <c r="AZ515" i="1"/>
  <c r="AZ516" i="1"/>
  <c r="AZ517" i="1"/>
  <c r="AZ518" i="1"/>
  <c r="AZ519" i="1"/>
  <c r="AZ520" i="1"/>
  <c r="AZ521" i="1"/>
  <c r="AZ522" i="1"/>
  <c r="AZ523" i="1"/>
  <c r="AZ524" i="1"/>
  <c r="AZ525" i="1"/>
  <c r="AZ526" i="1"/>
  <c r="AZ527" i="1"/>
  <c r="AZ528" i="1"/>
  <c r="AZ529" i="1"/>
  <c r="AZ530" i="1"/>
  <c r="AZ531" i="1"/>
  <c r="AZ532" i="1"/>
  <c r="AZ533" i="1"/>
  <c r="AZ534" i="1"/>
  <c r="AZ535" i="1"/>
  <c r="AZ536" i="1"/>
  <c r="AZ537" i="1"/>
  <c r="AZ538" i="1"/>
  <c r="AZ539" i="1"/>
  <c r="AZ540" i="1"/>
  <c r="AZ541" i="1"/>
  <c r="AZ542" i="1"/>
  <c r="AZ543" i="1"/>
  <c r="AZ544" i="1"/>
  <c r="AZ545" i="1"/>
  <c r="AZ546" i="1"/>
  <c r="AZ547" i="1"/>
  <c r="AZ548" i="1"/>
  <c r="AZ549" i="1"/>
  <c r="AY5" i="1"/>
  <c r="AY7" i="1"/>
  <c r="AY8" i="1"/>
  <c r="AY9" i="1"/>
  <c r="AY10" i="1"/>
  <c r="AY11" i="1"/>
  <c r="AY12" i="1"/>
  <c r="AY13" i="1"/>
  <c r="AY14" i="1"/>
  <c r="AY16" i="1"/>
  <c r="AY17" i="1"/>
  <c r="AY18" i="1"/>
  <c r="AY19" i="1"/>
  <c r="AY20" i="1"/>
  <c r="AY21" i="1"/>
  <c r="AY22"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4" i="1"/>
  <c r="AY75" i="1"/>
  <c r="AY76" i="1"/>
  <c r="AY77" i="1"/>
  <c r="AY78" i="1"/>
  <c r="AY79" i="1"/>
  <c r="AY80" i="1"/>
  <c r="AY82" i="1"/>
  <c r="AY83" i="1"/>
  <c r="AY84" i="1"/>
  <c r="AY85" i="1"/>
  <c r="AY86" i="1"/>
  <c r="AY87" i="1"/>
  <c r="AY88" i="1"/>
  <c r="AY89" i="1"/>
  <c r="AY90" i="1"/>
  <c r="AY91" i="1"/>
  <c r="AY92" i="1"/>
  <c r="AY93" i="1"/>
  <c r="AY97" i="1"/>
  <c r="AY104" i="1"/>
  <c r="AY105" i="1"/>
  <c r="AY106" i="1"/>
  <c r="AY107" i="1"/>
  <c r="AY108" i="1"/>
  <c r="AY109" i="1"/>
  <c r="AY113" i="1"/>
  <c r="AY114" i="1"/>
  <c r="AY115" i="1"/>
  <c r="AY116" i="1"/>
  <c r="AY117" i="1"/>
  <c r="AY118" i="1"/>
  <c r="AY119" i="1"/>
  <c r="AY120" i="1"/>
  <c r="AY125" i="1"/>
  <c r="AY126" i="1"/>
  <c r="AY127" i="1"/>
  <c r="AY128" i="1"/>
  <c r="AY129" i="1"/>
  <c r="AY130" i="1"/>
  <c r="AY131" i="1"/>
  <c r="AY132" i="1"/>
  <c r="AY133" i="1"/>
  <c r="AY134" i="1"/>
  <c r="AY135" i="1"/>
  <c r="AY136" i="1"/>
  <c r="AY137" i="1"/>
  <c r="AY138" i="1"/>
  <c r="AY139" i="1"/>
  <c r="AY140" i="1"/>
  <c r="AY141" i="1"/>
  <c r="AY142" i="1"/>
  <c r="AY143" i="1"/>
  <c r="AY144" i="1"/>
  <c r="AY145" i="1"/>
  <c r="AY150" i="1"/>
  <c r="AY151" i="1"/>
  <c r="AY152" i="1"/>
  <c r="AY153" i="1"/>
  <c r="AY154" i="1"/>
  <c r="AY155" i="1"/>
  <c r="AY156" i="1"/>
  <c r="AY157" i="1"/>
  <c r="AY158" i="1"/>
  <c r="AY159" i="1"/>
  <c r="AY160" i="1"/>
  <c r="AY161" i="1"/>
  <c r="AY162" i="1"/>
  <c r="AY163" i="1"/>
  <c r="AY164" i="1"/>
  <c r="AY165" i="1"/>
  <c r="AY166" i="1"/>
  <c r="AY167" i="1"/>
  <c r="AY168" i="1"/>
  <c r="AY169" i="1"/>
  <c r="AY170" i="1"/>
  <c r="AY171" i="1"/>
  <c r="AY172" i="1"/>
  <c r="AY173" i="1"/>
  <c r="AY174" i="1"/>
  <c r="AY175" i="1"/>
  <c r="AY176" i="1"/>
  <c r="AY177" i="1"/>
  <c r="AY178" i="1"/>
  <c r="AY179" i="1"/>
  <c r="AY180" i="1"/>
  <c r="AY181" i="1"/>
  <c r="AY182" i="1"/>
  <c r="AY183" i="1"/>
  <c r="AY184" i="1"/>
  <c r="AY190" i="1"/>
  <c r="AY191" i="1"/>
  <c r="AY192" i="1"/>
  <c r="AY193" i="1"/>
  <c r="AY194" i="1"/>
  <c r="AY197" i="1"/>
  <c r="AY198" i="1"/>
  <c r="AY201" i="1"/>
  <c r="AY202" i="1"/>
  <c r="AY203" i="1"/>
  <c r="AY204" i="1"/>
  <c r="AY205" i="1"/>
  <c r="AY206" i="1"/>
  <c r="AY207" i="1"/>
  <c r="AY208" i="1"/>
  <c r="AY209" i="1"/>
  <c r="AY210" i="1"/>
  <c r="AY211" i="1"/>
  <c r="AY212" i="1"/>
  <c r="AY213" i="1"/>
  <c r="AY214" i="1"/>
  <c r="AY215" i="1"/>
  <c r="AY216" i="1"/>
  <c r="AY217" i="1"/>
  <c r="AY218" i="1"/>
  <c r="AY219" i="1"/>
  <c r="AY222" i="1"/>
  <c r="AY223" i="1"/>
  <c r="AY224" i="1"/>
  <c r="AY225" i="1"/>
  <c r="AY226" i="1"/>
  <c r="AY227" i="1"/>
  <c r="AY228" i="1"/>
  <c r="AY229" i="1"/>
  <c r="AY230" i="1"/>
  <c r="AY231" i="1"/>
  <c r="AY232" i="1"/>
  <c r="AY233" i="1"/>
  <c r="AY241" i="1"/>
  <c r="AY242" i="1"/>
  <c r="AY243" i="1"/>
  <c r="AY244" i="1"/>
  <c r="AY245" i="1"/>
  <c r="AY248" i="1"/>
  <c r="AY249" i="1"/>
  <c r="AY250" i="1"/>
  <c r="AY251" i="1"/>
  <c r="AY252" i="1"/>
  <c r="AY253" i="1"/>
  <c r="AY254" i="1"/>
  <c r="AY255" i="1"/>
  <c r="AY259" i="1"/>
  <c r="AY260" i="1"/>
  <c r="AY261" i="1"/>
  <c r="AY262" i="1"/>
  <c r="AY263" i="1"/>
  <c r="AY264" i="1"/>
  <c r="AY265" i="1"/>
  <c r="AY271" i="1"/>
  <c r="AY272" i="1"/>
  <c r="AY273" i="1"/>
  <c r="AY274" i="1"/>
  <c r="AY275" i="1"/>
  <c r="AY276" i="1"/>
  <c r="AY277" i="1"/>
  <c r="AY280" i="1"/>
  <c r="AY281" i="1"/>
  <c r="AY282" i="1"/>
  <c r="AY284" i="1"/>
  <c r="AY285" i="1"/>
  <c r="AY286" i="1"/>
  <c r="AY287" i="1"/>
  <c r="AY288" i="1"/>
  <c r="AY289" i="1"/>
  <c r="AY290" i="1"/>
  <c r="AY291" i="1"/>
  <c r="AY292" i="1"/>
  <c r="AY293" i="1"/>
  <c r="AY294" i="1"/>
  <c r="AY295" i="1"/>
  <c r="AY297" i="1"/>
  <c r="AY299" i="1"/>
  <c r="AY300" i="1"/>
  <c r="AY301" i="1"/>
  <c r="AY302" i="1"/>
  <c r="AY304" i="1"/>
  <c r="AY305" i="1"/>
  <c r="AY306" i="1"/>
  <c r="AY307" i="1"/>
  <c r="AY309" i="1"/>
  <c r="AY310" i="1"/>
  <c r="AY311" i="1"/>
  <c r="AY312" i="1"/>
  <c r="AY313" i="1"/>
  <c r="AY314" i="1"/>
  <c r="AY316" i="1"/>
  <c r="AY317" i="1"/>
  <c r="AY318" i="1"/>
  <c r="AY319" i="1"/>
  <c r="AY320" i="1"/>
  <c r="AY321" i="1"/>
  <c r="AY322" i="1"/>
  <c r="AY323" i="1"/>
  <c r="AY324" i="1"/>
  <c r="AY325" i="1"/>
  <c r="AY326" i="1"/>
  <c r="AY327" i="1"/>
  <c r="AY328" i="1"/>
  <c r="AY329" i="1"/>
  <c r="AY330" i="1"/>
  <c r="AY331" i="1"/>
  <c r="AY332" i="1"/>
  <c r="AY333" i="1"/>
  <c r="AY334" i="1"/>
  <c r="AY335" i="1"/>
  <c r="AY336" i="1"/>
  <c r="AY337" i="1"/>
  <c r="AY338" i="1"/>
  <c r="AY339" i="1"/>
  <c r="AY340" i="1"/>
  <c r="AY342" i="1"/>
  <c r="AY343" i="1"/>
  <c r="AY344" i="1"/>
  <c r="AY345" i="1"/>
  <c r="AY346" i="1"/>
  <c r="AY347" i="1"/>
  <c r="AY348" i="1"/>
  <c r="AY349" i="1"/>
  <c r="AY350" i="1"/>
  <c r="AY351" i="1"/>
  <c r="AY352" i="1"/>
  <c r="AY353" i="1"/>
  <c r="AY354" i="1"/>
  <c r="AY355" i="1"/>
  <c r="AY356" i="1"/>
  <c r="AY357" i="1"/>
  <c r="AY358" i="1"/>
  <c r="AY359" i="1"/>
  <c r="AY360" i="1"/>
  <c r="AY361" i="1"/>
  <c r="AY362" i="1"/>
  <c r="AY363" i="1"/>
  <c r="AY364" i="1"/>
  <c r="AY365" i="1"/>
  <c r="AY366" i="1"/>
  <c r="AY367" i="1"/>
  <c r="AY368" i="1"/>
  <c r="AY369" i="1"/>
  <c r="AY370" i="1"/>
  <c r="AY373" i="1"/>
  <c r="AY374" i="1"/>
  <c r="AY375" i="1"/>
  <c r="AY376" i="1"/>
  <c r="AY377" i="1"/>
  <c r="AY378" i="1"/>
  <c r="AY379" i="1"/>
  <c r="AY380" i="1"/>
  <c r="AY381" i="1"/>
  <c r="AY382" i="1"/>
  <c r="AY383" i="1"/>
  <c r="AY384" i="1"/>
  <c r="AY387" i="1"/>
  <c r="AY389" i="1"/>
  <c r="AY390" i="1"/>
  <c r="AY391" i="1"/>
  <c r="AY392" i="1"/>
  <c r="AY395" i="1"/>
  <c r="AY396" i="1"/>
  <c r="AY397" i="1"/>
  <c r="AY398" i="1"/>
  <c r="AY399" i="1"/>
  <c r="AY400" i="1"/>
  <c r="AY401" i="1"/>
  <c r="AY402" i="1"/>
  <c r="AY403" i="1"/>
  <c r="AY410" i="1"/>
  <c r="AY415" i="1"/>
  <c r="AY416" i="1"/>
  <c r="AY417" i="1"/>
  <c r="AY418" i="1"/>
  <c r="AY419" i="1"/>
  <c r="AY420" i="1"/>
  <c r="AY421" i="1"/>
  <c r="AY422" i="1"/>
  <c r="AY423" i="1"/>
  <c r="AY424" i="1"/>
  <c r="AY427" i="1"/>
  <c r="AY428" i="1"/>
  <c r="AY429" i="1"/>
  <c r="AY430" i="1"/>
  <c r="AY431" i="1"/>
  <c r="AY432" i="1"/>
  <c r="AY433" i="1"/>
  <c r="AY434" i="1"/>
  <c r="AY435" i="1"/>
  <c r="AY437" i="1"/>
  <c r="AY438" i="1"/>
  <c r="AY439" i="1"/>
  <c r="AY440" i="1"/>
  <c r="AY441" i="1"/>
  <c r="AY442" i="1"/>
  <c r="AY443" i="1"/>
  <c r="AY444" i="1"/>
  <c r="AY445" i="1"/>
  <c r="AY447" i="1"/>
  <c r="AY449" i="1"/>
  <c r="AY452" i="1"/>
  <c r="AY454" i="1"/>
  <c r="AY455" i="1"/>
  <c r="AY456" i="1"/>
  <c r="AY457" i="1"/>
  <c r="AY458" i="1"/>
  <c r="AY459" i="1"/>
  <c r="AY460" i="1"/>
  <c r="AY461" i="1"/>
  <c r="AY462" i="1"/>
  <c r="AY463" i="1"/>
  <c r="AY464" i="1"/>
  <c r="AY465" i="1"/>
  <c r="AY466" i="1"/>
  <c r="AY467" i="1"/>
  <c r="AY468" i="1"/>
  <c r="AY469" i="1"/>
  <c r="AY470" i="1"/>
  <c r="AY471" i="1"/>
  <c r="AY472" i="1"/>
  <c r="AY475" i="1"/>
  <c r="AY476" i="1"/>
  <c r="AY477" i="1"/>
  <c r="AY478" i="1"/>
  <c r="AY479" i="1"/>
  <c r="AY480" i="1"/>
  <c r="AY481" i="1"/>
  <c r="AY482" i="1"/>
  <c r="AY483" i="1"/>
  <c r="AY490" i="1"/>
  <c r="AY491" i="1"/>
  <c r="AY492" i="1"/>
  <c r="AY493" i="1"/>
  <c r="AY494" i="1"/>
  <c r="AY495" i="1"/>
  <c r="AY496" i="1"/>
  <c r="AY497" i="1"/>
  <c r="AY498" i="1"/>
  <c r="AY499" i="1"/>
  <c r="AY500" i="1"/>
  <c r="AY501" i="1"/>
  <c r="AY502" i="1"/>
  <c r="AY503" i="1"/>
  <c r="AY504" i="1"/>
  <c r="AY505" i="1"/>
  <c r="AY506" i="1"/>
  <c r="AY507" i="1"/>
  <c r="AY508" i="1"/>
  <c r="AY509" i="1"/>
  <c r="AY510" i="1"/>
  <c r="AY511" i="1"/>
  <c r="AY512" i="1"/>
  <c r="AY513" i="1"/>
  <c r="AY514" i="1"/>
  <c r="AY515" i="1"/>
  <c r="AY516" i="1"/>
  <c r="AY517" i="1"/>
  <c r="AY518" i="1"/>
  <c r="AY519" i="1"/>
  <c r="AY520" i="1"/>
  <c r="AY521" i="1"/>
  <c r="AY522" i="1"/>
  <c r="AY523" i="1"/>
  <c r="AY524" i="1"/>
  <c r="AY525" i="1"/>
  <c r="AY526" i="1"/>
  <c r="AY527" i="1"/>
  <c r="AY528" i="1"/>
  <c r="AY529" i="1"/>
  <c r="AY530" i="1"/>
  <c r="AY531" i="1"/>
  <c r="AY534" i="1"/>
  <c r="AY535" i="1"/>
  <c r="AY536" i="1"/>
  <c r="AY537" i="1"/>
  <c r="AY538" i="1"/>
  <c r="AY539" i="1"/>
  <c r="AY540" i="1"/>
  <c r="AY541" i="1"/>
  <c r="AY542" i="1"/>
  <c r="AY543" i="1"/>
  <c r="AY544" i="1"/>
  <c r="AY545" i="1"/>
  <c r="AY546" i="1"/>
  <c r="AY547" i="1"/>
  <c r="AY548" i="1"/>
  <c r="AY549" i="1"/>
  <c r="AX5" i="1"/>
  <c r="AX7" i="1"/>
  <c r="AX8" i="1"/>
  <c r="AX9" i="1"/>
  <c r="AX10" i="1"/>
  <c r="AX11" i="1"/>
  <c r="AX12" i="1"/>
  <c r="AX13" i="1"/>
  <c r="AX14"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80" i="1"/>
  <c r="AX81" i="1"/>
  <c r="AX83" i="1"/>
  <c r="AX84" i="1"/>
  <c r="AX85" i="1"/>
  <c r="AX86" i="1"/>
  <c r="AX87" i="1"/>
  <c r="AX88" i="1"/>
  <c r="AX89" i="1"/>
  <c r="AX90" i="1"/>
  <c r="AX91" i="1"/>
  <c r="AX92" i="1"/>
  <c r="AX93" i="1"/>
  <c r="AX96" i="1"/>
  <c r="AX99" i="1"/>
  <c r="AX102" i="1"/>
  <c r="AX104" i="1"/>
  <c r="AX105" i="1"/>
  <c r="AX106" i="1"/>
  <c r="AX107" i="1"/>
  <c r="AX108" i="1"/>
  <c r="AX109" i="1"/>
  <c r="AX111" i="1"/>
  <c r="AX113" i="1"/>
  <c r="AX114" i="1"/>
  <c r="AX120" i="1"/>
  <c r="AX122"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90" i="1"/>
  <c r="AX191" i="1"/>
  <c r="AX192" i="1"/>
  <c r="AX193" i="1"/>
  <c r="AX194" i="1"/>
  <c r="AX195" i="1"/>
  <c r="AX196" i="1"/>
  <c r="AX197" i="1"/>
  <c r="AX198" i="1"/>
  <c r="AX199" i="1"/>
  <c r="AX200"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5" i="1"/>
  <c r="AX236" i="1"/>
  <c r="AX237" i="1"/>
  <c r="AX238" i="1"/>
  <c r="AX239" i="1"/>
  <c r="AX240" i="1"/>
  <c r="AX241" i="1"/>
  <c r="AX242" i="1"/>
  <c r="AX243" i="1"/>
  <c r="AX244" i="1"/>
  <c r="AX245" i="1"/>
  <c r="AX248" i="1"/>
  <c r="AX249" i="1"/>
  <c r="AX250" i="1"/>
  <c r="AX251" i="1"/>
  <c r="AX252" i="1"/>
  <c r="AX253" i="1"/>
  <c r="AX254" i="1"/>
  <c r="AX255" i="1"/>
  <c r="AX259" i="1"/>
  <c r="AX260" i="1"/>
  <c r="AX261" i="1"/>
  <c r="AX262" i="1"/>
  <c r="AX263" i="1"/>
  <c r="AX264" i="1"/>
  <c r="AX265" i="1"/>
  <c r="AX271" i="1"/>
  <c r="AX272" i="1"/>
  <c r="AX273" i="1"/>
  <c r="AX274" i="1"/>
  <c r="AX275" i="1"/>
  <c r="AX276" i="1"/>
  <c r="AX277" i="1"/>
  <c r="AX280" i="1"/>
  <c r="AX281" i="1"/>
  <c r="AX282" i="1"/>
  <c r="AX283" i="1"/>
  <c r="AX284" i="1"/>
  <c r="AX285" i="1"/>
  <c r="AX287" i="1"/>
  <c r="AX288" i="1"/>
  <c r="AX289" i="1"/>
  <c r="AX290" i="1"/>
  <c r="AX291" i="1"/>
  <c r="AX292" i="1"/>
  <c r="AX293" i="1"/>
  <c r="AX294" i="1"/>
  <c r="AX295" i="1"/>
  <c r="AX296" i="1"/>
  <c r="AX297" i="1"/>
  <c r="AX298" i="1"/>
  <c r="AX299" i="1"/>
  <c r="AX300" i="1"/>
  <c r="AX301" i="1"/>
  <c r="AX302" i="1"/>
  <c r="AX304" i="1"/>
  <c r="AX305" i="1"/>
  <c r="AX306" i="1"/>
  <c r="AX307" i="1"/>
  <c r="AX309" i="1"/>
  <c r="AX310" i="1"/>
  <c r="AX311" i="1"/>
  <c r="AX312" i="1"/>
  <c r="AX313" i="1"/>
  <c r="AX314" i="1"/>
  <c r="AX315" i="1"/>
  <c r="AX316" i="1"/>
  <c r="AX317" i="1"/>
  <c r="AX318" i="1"/>
  <c r="AX320" i="1"/>
  <c r="AX321" i="1"/>
  <c r="AX322" i="1"/>
  <c r="AX324" i="1"/>
  <c r="AX325" i="1"/>
  <c r="AX326" i="1"/>
  <c r="AX327" i="1"/>
  <c r="AX328" i="1"/>
  <c r="AX329" i="1"/>
  <c r="AX330" i="1"/>
  <c r="AX331" i="1"/>
  <c r="AX332" i="1"/>
  <c r="AX333" i="1"/>
  <c r="AX334" i="1"/>
  <c r="AX335" i="1"/>
  <c r="AX336" i="1"/>
  <c r="AX337" i="1"/>
  <c r="AX338" i="1"/>
  <c r="AX339" i="1"/>
  <c r="AX340" i="1"/>
  <c r="AX341" i="1"/>
  <c r="AX342" i="1"/>
  <c r="AX344" i="1"/>
  <c r="AX345" i="1"/>
  <c r="AX346" i="1"/>
  <c r="AX347" i="1"/>
  <c r="AX348" i="1"/>
  <c r="AX349" i="1"/>
  <c r="AX350" i="1"/>
  <c r="AX351" i="1"/>
  <c r="AX352" i="1"/>
  <c r="AX353" i="1"/>
  <c r="AX354" i="1"/>
  <c r="AX355" i="1"/>
  <c r="AX356" i="1"/>
  <c r="AX357" i="1"/>
  <c r="AX358" i="1"/>
  <c r="AX359" i="1"/>
  <c r="AX360" i="1"/>
  <c r="AX361" i="1"/>
  <c r="AX362" i="1"/>
  <c r="AX363" i="1"/>
  <c r="AX364" i="1"/>
  <c r="AX365" i="1"/>
  <c r="AX366" i="1"/>
  <c r="AX367" i="1"/>
  <c r="AX368" i="1"/>
  <c r="AX369" i="1"/>
  <c r="AX370" i="1"/>
  <c r="AX373" i="1"/>
  <c r="AX374" i="1"/>
  <c r="AX375" i="1"/>
  <c r="AX376" i="1"/>
  <c r="AX377" i="1"/>
  <c r="AX378" i="1"/>
  <c r="AX379" i="1"/>
  <c r="AX380" i="1"/>
  <c r="AX381" i="1"/>
  <c r="AX382" i="1"/>
  <c r="AX383" i="1"/>
  <c r="AX384" i="1"/>
  <c r="AX387" i="1"/>
  <c r="AX388" i="1"/>
  <c r="AX389" i="1"/>
  <c r="AX390" i="1"/>
  <c r="AX391" i="1"/>
  <c r="AX392" i="1"/>
  <c r="AX396" i="1"/>
  <c r="AX397" i="1"/>
  <c r="AX398" i="1"/>
  <c r="AX399" i="1"/>
  <c r="AX400" i="1"/>
  <c r="AX401" i="1"/>
  <c r="AX402" i="1"/>
  <c r="AX403" i="1"/>
  <c r="AX410" i="1"/>
  <c r="AX415" i="1"/>
  <c r="AX416" i="1"/>
  <c r="AX417" i="1"/>
  <c r="AX418" i="1"/>
  <c r="AX419" i="1"/>
  <c r="AX420" i="1"/>
  <c r="AX421" i="1"/>
  <c r="AX422" i="1"/>
  <c r="AX423" i="1"/>
  <c r="AX424" i="1"/>
  <c r="AX425" i="1"/>
  <c r="AX426" i="1"/>
  <c r="AX427" i="1"/>
  <c r="AX428" i="1"/>
  <c r="AX429" i="1"/>
  <c r="AX432" i="1"/>
  <c r="AX433" i="1"/>
  <c r="AX434" i="1"/>
  <c r="AX435" i="1"/>
  <c r="AX436" i="1"/>
  <c r="AX437" i="1"/>
  <c r="AX438" i="1"/>
  <c r="AX439" i="1"/>
  <c r="AX440" i="1"/>
  <c r="AX441" i="1"/>
  <c r="AX442" i="1"/>
  <c r="AX443" i="1"/>
  <c r="AX444" i="1"/>
  <c r="AX445" i="1"/>
  <c r="AX447" i="1"/>
  <c r="AX449" i="1"/>
  <c r="AX452" i="1"/>
  <c r="AX454" i="1"/>
  <c r="AX455" i="1"/>
  <c r="AX456" i="1"/>
  <c r="AX457" i="1"/>
  <c r="AX458" i="1"/>
  <c r="AX459" i="1"/>
  <c r="AX460" i="1"/>
  <c r="AX461" i="1"/>
  <c r="AX462" i="1"/>
  <c r="AX463" i="1"/>
  <c r="AX464" i="1"/>
  <c r="AX465" i="1"/>
  <c r="AX466" i="1"/>
  <c r="AX467" i="1"/>
  <c r="AX468" i="1"/>
  <c r="AX469" i="1"/>
  <c r="AX470" i="1"/>
  <c r="AX471" i="1"/>
  <c r="AX472" i="1"/>
  <c r="AX476" i="1"/>
  <c r="AX478" i="1"/>
  <c r="AX479" i="1"/>
  <c r="AX480" i="1"/>
  <c r="AX481" i="1"/>
  <c r="AX482" i="1"/>
  <c r="AX483" i="1"/>
  <c r="AX490" i="1"/>
  <c r="AX491" i="1"/>
  <c r="AX492" i="1"/>
  <c r="AX493" i="1"/>
  <c r="AX494" i="1"/>
  <c r="AX495" i="1"/>
  <c r="AX496" i="1"/>
  <c r="AX497" i="1"/>
  <c r="AX498" i="1"/>
  <c r="AX499" i="1"/>
  <c r="AX500" i="1"/>
  <c r="AX501" i="1"/>
  <c r="AX502" i="1"/>
  <c r="AX503" i="1"/>
  <c r="AX504" i="1"/>
  <c r="AX505" i="1"/>
  <c r="AX506" i="1"/>
  <c r="AX507" i="1"/>
  <c r="AX508" i="1"/>
  <c r="AX509" i="1"/>
  <c r="AX510" i="1"/>
  <c r="AX511" i="1"/>
  <c r="AX512" i="1"/>
  <c r="AX513" i="1"/>
  <c r="AX514" i="1"/>
  <c r="AX515" i="1"/>
  <c r="AX516" i="1"/>
  <c r="AX517" i="1"/>
  <c r="AX518" i="1"/>
  <c r="AX519" i="1"/>
  <c r="AX520" i="1"/>
  <c r="AX521" i="1"/>
  <c r="AX522" i="1"/>
  <c r="AX523" i="1"/>
  <c r="AX524" i="1"/>
  <c r="AX525" i="1"/>
  <c r="AX526" i="1"/>
  <c r="AX527" i="1"/>
  <c r="AX528" i="1"/>
  <c r="AX529" i="1"/>
  <c r="AX530" i="1"/>
  <c r="AX531" i="1"/>
  <c r="AX534" i="1"/>
  <c r="AX535" i="1"/>
  <c r="AX536" i="1"/>
  <c r="AX537" i="1"/>
  <c r="AX538" i="1"/>
  <c r="AX539" i="1"/>
  <c r="AX540" i="1"/>
  <c r="AX541" i="1"/>
  <c r="AX542" i="1"/>
  <c r="AX543" i="1"/>
  <c r="AX544" i="1"/>
  <c r="AX545" i="1"/>
  <c r="AX546" i="1"/>
  <c r="AX547" i="1"/>
  <c r="AX548" i="1"/>
  <c r="AX549"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2" i="1"/>
  <c r="AW33" i="1"/>
  <c r="AW36" i="1"/>
  <c r="AW41" i="1"/>
  <c r="AW53" i="1"/>
  <c r="AW54" i="1"/>
  <c r="AW55" i="1"/>
  <c r="AW57" i="1"/>
  <c r="AW59" i="1"/>
  <c r="AW60" i="1"/>
  <c r="AW61" i="1"/>
  <c r="AW62" i="1"/>
  <c r="AW63" i="1"/>
  <c r="AW64" i="1"/>
  <c r="AW65" i="1"/>
  <c r="AW66" i="1"/>
  <c r="AW67" i="1"/>
  <c r="AW68" i="1"/>
  <c r="AW69" i="1"/>
  <c r="AW70" i="1"/>
  <c r="AW71" i="1"/>
  <c r="AW72" i="1"/>
  <c r="AW73" i="1"/>
  <c r="AW74" i="1"/>
  <c r="AW75" i="1"/>
  <c r="AW76" i="1"/>
  <c r="AW77" i="1"/>
  <c r="AW78" i="1"/>
  <c r="AW80" i="1"/>
  <c r="AW81" i="1"/>
  <c r="AW82" i="1"/>
  <c r="AW83" i="1"/>
  <c r="AW84" i="1"/>
  <c r="AW85" i="1"/>
  <c r="AW86" i="1"/>
  <c r="AW87" i="1"/>
  <c r="AW88" i="1"/>
  <c r="AW89" i="1"/>
  <c r="AW90" i="1"/>
  <c r="AW91" i="1"/>
  <c r="AW92" i="1"/>
  <c r="AW93" i="1"/>
  <c r="AW94" i="1"/>
  <c r="AW95" i="1"/>
  <c r="AW96" i="1"/>
  <c r="AW97" i="1"/>
  <c r="AW99" i="1"/>
  <c r="AW100"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9" i="1"/>
  <c r="AW260" i="1"/>
  <c r="AW261" i="1"/>
  <c r="AW262" i="1"/>
  <c r="AW263" i="1"/>
  <c r="AW264" i="1"/>
  <c r="AW265" i="1"/>
  <c r="AW271" i="1"/>
  <c r="AW272" i="1"/>
  <c r="AW273" i="1"/>
  <c r="AW274" i="1"/>
  <c r="AW275" i="1"/>
  <c r="AW276" i="1"/>
  <c r="AW277"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4" i="1"/>
  <c r="AW305" i="1"/>
  <c r="AW306" i="1"/>
  <c r="AW307" i="1"/>
  <c r="AW308" i="1"/>
  <c r="AW309" i="1"/>
  <c r="AW310" i="1"/>
  <c r="AW311" i="1"/>
  <c r="AW312" i="1"/>
  <c r="AW313" i="1"/>
  <c r="AW314" i="1"/>
  <c r="AW315" i="1"/>
  <c r="AW316" i="1"/>
  <c r="AW317" i="1"/>
  <c r="AW318" i="1"/>
  <c r="AW319" i="1"/>
  <c r="AW320" i="1"/>
  <c r="AW321" i="1"/>
  <c r="AW322" i="1"/>
  <c r="AW323" i="1"/>
  <c r="AW324" i="1"/>
  <c r="AW325" i="1"/>
  <c r="AW326" i="1"/>
  <c r="AW327"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3" i="1"/>
  <c r="AW364" i="1"/>
  <c r="AW365" i="1"/>
  <c r="AW366" i="1"/>
  <c r="AW367" i="1"/>
  <c r="AW368" i="1"/>
  <c r="AW369" i="1"/>
  <c r="AW370" i="1"/>
  <c r="AW372" i="1"/>
  <c r="AW373" i="1"/>
  <c r="AW374" i="1"/>
  <c r="AW375" i="1"/>
  <c r="AW376" i="1"/>
  <c r="AW377" i="1"/>
  <c r="AW378" i="1"/>
  <c r="AW379" i="1"/>
  <c r="AW380" i="1"/>
  <c r="AW381" i="1"/>
  <c r="AW382" i="1"/>
  <c r="AW383" i="1"/>
  <c r="AW384" i="1"/>
  <c r="AW387" i="1"/>
  <c r="AW388" i="1"/>
  <c r="AW389" i="1"/>
  <c r="AW390" i="1"/>
  <c r="AW391" i="1"/>
  <c r="AW392" i="1"/>
  <c r="AW395" i="1"/>
  <c r="AW396" i="1"/>
  <c r="AW397" i="1"/>
  <c r="AW398" i="1"/>
  <c r="AW399" i="1"/>
  <c r="AW400" i="1"/>
  <c r="AW401" i="1"/>
  <c r="AW402" i="1"/>
  <c r="AW403" i="1"/>
  <c r="AW405" i="1"/>
  <c r="AW406" i="1"/>
  <c r="AW407" i="1"/>
  <c r="AW408" i="1"/>
  <c r="AW409" i="1"/>
  <c r="AW410" i="1"/>
  <c r="AW411" i="1"/>
  <c r="AW412" i="1"/>
  <c r="AW413" i="1"/>
  <c r="AW414" i="1"/>
  <c r="AW415" i="1"/>
  <c r="AW416" i="1"/>
  <c r="AW417" i="1"/>
  <c r="AW418" i="1"/>
  <c r="AW419" i="1"/>
  <c r="AW420" i="1"/>
  <c r="AW421" i="1"/>
  <c r="AW422" i="1"/>
  <c r="AW423" i="1"/>
  <c r="AW424" i="1"/>
  <c r="AW425"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7" i="1"/>
  <c r="AW478" i="1"/>
  <c r="AW479" i="1"/>
  <c r="AW480" i="1"/>
  <c r="AW481" i="1"/>
  <c r="AW482" i="1"/>
  <c r="AW483" i="1"/>
  <c r="AW484" i="1"/>
  <c r="AW485" i="1"/>
  <c r="AW486" i="1"/>
  <c r="AW488" i="1"/>
  <c r="AW490" i="1"/>
  <c r="AW491" i="1"/>
  <c r="AW492" i="1"/>
  <c r="AW493" i="1"/>
  <c r="AW494" i="1"/>
  <c r="AW495" i="1"/>
  <c r="AW496" i="1"/>
  <c r="AW497" i="1"/>
  <c r="AW498" i="1"/>
  <c r="AW499" i="1"/>
  <c r="AW500" i="1"/>
  <c r="AW501" i="1"/>
  <c r="AW502" i="1"/>
  <c r="AW503" i="1"/>
  <c r="AW504" i="1"/>
  <c r="AW505" i="1"/>
  <c r="AW506" i="1"/>
  <c r="AW507" i="1"/>
  <c r="AW508" i="1"/>
  <c r="AW509" i="1"/>
  <c r="AW510" i="1"/>
  <c r="AW511" i="1"/>
  <c r="AW512"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7" i="1"/>
  <c r="AW548" i="1"/>
  <c r="AW549" i="1"/>
  <c r="AW4" i="1"/>
  <c r="BA25" i="1" l="1"/>
  <c r="BA161" i="1"/>
  <c r="BA180" i="1"/>
  <c r="BA172" i="1"/>
  <c r="BA153" i="1"/>
  <c r="BA304" i="1"/>
  <c r="BA90" i="1"/>
  <c r="BA70" i="1"/>
  <c r="BA62" i="1"/>
  <c r="BA228" i="1"/>
  <c r="BA27" i="1"/>
  <c r="BA526" i="1"/>
  <c r="BA510" i="1"/>
  <c r="BA502" i="1"/>
  <c r="BA494" i="1"/>
  <c r="BA357" i="1"/>
  <c r="BA349" i="1"/>
  <c r="BA317" i="1"/>
  <c r="BA41" i="1"/>
  <c r="BA301" i="1"/>
  <c r="BA293" i="1"/>
  <c r="BA440" i="1"/>
  <c r="BA314" i="1"/>
  <c r="BA305" i="1"/>
  <c r="BA544" i="1"/>
  <c r="BA536" i="1"/>
  <c r="BA459" i="1"/>
  <c r="BA367" i="1"/>
  <c r="BA359" i="1"/>
  <c r="BA351" i="1"/>
  <c r="BA229" i="1"/>
  <c r="BA213" i="1"/>
  <c r="BA205" i="1"/>
  <c r="BA28" i="1"/>
  <c r="BA20" i="1"/>
  <c r="BA384" i="1"/>
  <c r="BA277" i="1"/>
  <c r="BA253" i="1"/>
  <c r="BA424" i="1"/>
  <c r="BA338" i="1"/>
  <c r="BA216" i="1"/>
  <c r="BA208" i="1"/>
  <c r="BA142" i="1"/>
  <c r="BA134" i="1"/>
  <c r="BA126" i="1"/>
  <c r="BA364" i="1"/>
  <c r="BA348" i="1"/>
  <c r="BA356" i="1"/>
  <c r="BA339" i="1"/>
  <c r="BA233" i="1"/>
  <c r="BA225" i="1"/>
  <c r="BA392" i="1"/>
  <c r="BA87" i="1"/>
  <c r="BA523" i="1"/>
  <c r="BA507" i="1"/>
  <c r="BA290" i="1"/>
  <c r="BA192" i="1"/>
  <c r="BA531" i="1"/>
  <c r="BA515" i="1"/>
  <c r="BA499" i="1"/>
  <c r="BA469" i="1"/>
  <c r="BA461" i="1"/>
  <c r="BA271" i="1"/>
  <c r="BA255" i="1"/>
  <c r="BA479" i="1"/>
  <c r="BA335" i="1"/>
  <c r="BA245" i="1"/>
  <c r="BA163" i="1"/>
  <c r="BA139" i="1"/>
  <c r="BA131" i="1"/>
  <c r="BA89" i="1"/>
  <c r="BA72" i="1"/>
  <c r="BA64" i="1"/>
  <c r="BA403" i="1"/>
  <c r="BA212" i="1"/>
  <c r="BA204" i="1"/>
  <c r="BA105" i="1"/>
  <c r="BA549" i="1"/>
  <c r="BA218" i="1"/>
  <c r="BA210" i="1"/>
  <c r="BA202" i="1"/>
  <c r="BA541" i="1"/>
  <c r="BA67" i="1"/>
  <c r="BA59" i="1"/>
  <c r="BA288" i="1"/>
  <c r="BA445" i="1"/>
  <c r="BA464" i="1"/>
  <c r="BA274" i="1"/>
  <c r="BA456" i="1"/>
  <c r="BA177" i="1"/>
  <c r="BA547" i="1"/>
  <c r="BA539" i="1"/>
  <c r="BA362" i="1"/>
  <c r="BA354" i="1"/>
  <c r="BA231" i="1"/>
  <c r="BA223" i="1"/>
  <c r="BA215" i="1"/>
  <c r="BA207" i="1"/>
  <c r="BA30" i="1"/>
  <c r="BA320" i="1"/>
  <c r="BA190" i="1"/>
  <c r="BA311" i="1"/>
  <c r="BA54" i="1"/>
  <c r="BA193" i="1"/>
  <c r="BA376" i="1"/>
  <c r="BA181" i="1"/>
  <c r="BA173" i="1"/>
  <c r="BA107" i="1"/>
  <c r="BA144" i="1"/>
  <c r="BA61" i="1"/>
  <c r="BA483" i="1"/>
  <c r="BA400" i="1"/>
  <c r="BA331" i="1"/>
  <c r="BA291" i="1"/>
  <c r="BA217" i="1"/>
  <c r="BA209" i="1"/>
  <c r="BA167" i="1"/>
  <c r="BA151" i="1"/>
  <c r="BA143" i="1"/>
  <c r="BA135" i="1"/>
  <c r="BA127" i="1"/>
  <c r="BA16" i="1"/>
  <c r="BA8" i="1"/>
  <c r="BA418" i="1"/>
  <c r="BA332" i="1"/>
  <c r="BA128" i="1"/>
  <c r="BA470" i="1"/>
  <c r="BA454" i="1"/>
  <c r="BA399" i="1"/>
  <c r="BA389" i="1"/>
  <c r="BA379" i="1"/>
  <c r="BA282" i="1"/>
  <c r="BA272" i="1"/>
  <c r="BA259" i="1"/>
  <c r="BA248" i="1"/>
  <c r="BA232" i="1"/>
  <c r="BA224" i="1"/>
  <c r="BA184" i="1"/>
  <c r="BA176" i="1"/>
  <c r="BA158" i="1"/>
  <c r="BA150" i="1"/>
  <c r="BA92" i="1"/>
  <c r="BA84" i="1"/>
  <c r="BA75" i="1"/>
  <c r="BA340" i="1"/>
  <c r="BA300" i="1"/>
  <c r="BA242" i="1"/>
  <c r="BA69" i="1"/>
  <c r="BA462" i="1"/>
  <c r="BA546" i="1"/>
  <c r="BA538" i="1"/>
  <c r="BA378" i="1"/>
  <c r="BA361" i="1"/>
  <c r="BA353" i="1"/>
  <c r="BA345" i="1"/>
  <c r="BA313" i="1"/>
  <c r="BA183" i="1"/>
  <c r="BA175" i="1"/>
  <c r="BA57" i="1"/>
  <c r="BA442" i="1"/>
  <c r="BA316" i="1"/>
  <c r="BA136" i="1"/>
  <c r="BA336" i="1"/>
  <c r="BA328" i="1"/>
  <c r="BA230" i="1"/>
  <c r="BA222" i="1"/>
  <c r="BA182" i="1"/>
  <c r="BA174" i="1"/>
  <c r="BA140" i="1"/>
  <c r="BA132" i="1"/>
  <c r="BA108" i="1"/>
  <c r="BA29" i="1"/>
  <c r="BA520" i="1"/>
  <c r="BA496" i="1"/>
  <c r="BA396" i="1"/>
  <c r="BA287" i="1"/>
  <c r="BA528" i="1"/>
  <c r="BA512" i="1"/>
  <c r="BA295" i="1"/>
  <c r="BA197" i="1"/>
  <c r="BA466" i="1"/>
  <c r="BA458" i="1"/>
  <c r="BA383" i="1"/>
  <c r="BA375" i="1"/>
  <c r="BA276" i="1"/>
  <c r="BA263" i="1"/>
  <c r="BA252" i="1"/>
  <c r="BA19" i="1"/>
  <c r="BA11" i="1"/>
  <c r="BA534" i="1"/>
  <c r="BA517" i="1"/>
  <c r="BA501" i="1"/>
  <c r="BA401" i="1"/>
  <c r="BA391" i="1"/>
  <c r="BA373" i="1"/>
  <c r="BA292" i="1"/>
  <c r="BA261" i="1"/>
  <c r="BA250" i="1"/>
  <c r="BA226" i="1"/>
  <c r="BA194" i="1"/>
  <c r="BA170" i="1"/>
  <c r="BA160" i="1"/>
  <c r="BA152" i="1"/>
  <c r="BA104" i="1"/>
  <c r="BA86" i="1"/>
  <c r="BA77" i="1"/>
  <c r="BA36" i="1"/>
  <c r="BA9" i="1"/>
  <c r="BA525" i="1"/>
  <c r="BA509" i="1"/>
  <c r="BA493" i="1"/>
  <c r="BA381" i="1"/>
  <c r="BA548" i="1"/>
  <c r="BA540" i="1"/>
  <c r="BA524" i="1"/>
  <c r="BA516" i="1"/>
  <c r="BA508" i="1"/>
  <c r="BA471" i="1"/>
  <c r="BA463" i="1"/>
  <c r="BA455" i="1"/>
  <c r="BA441" i="1"/>
  <c r="BA390" i="1"/>
  <c r="BA380" i="1"/>
  <c r="BA355" i="1"/>
  <c r="BA347" i="1"/>
  <c r="BA299" i="1"/>
  <c r="BA273" i="1"/>
  <c r="BA260" i="1"/>
  <c r="BA249" i="1"/>
  <c r="BA241" i="1"/>
  <c r="BA68" i="1"/>
  <c r="BA60" i="1"/>
  <c r="BA522" i="1"/>
  <c r="BA491" i="1"/>
  <c r="BA447" i="1"/>
  <c r="BA439" i="1"/>
  <c r="BA423" i="1"/>
  <c r="BA415" i="1"/>
  <c r="BA398" i="1"/>
  <c r="BA337" i="1"/>
  <c r="BA329" i="1"/>
  <c r="BA297" i="1"/>
  <c r="BA289" i="1"/>
  <c r="BA191" i="1"/>
  <c r="BA157" i="1"/>
  <c r="BA141" i="1"/>
  <c r="BA133" i="1"/>
  <c r="BA125" i="1"/>
  <c r="BA109" i="1"/>
  <c r="BA74" i="1"/>
  <c r="BA66" i="1"/>
  <c r="BA14" i="1"/>
  <c r="BA530" i="1"/>
  <c r="BA514" i="1"/>
  <c r="BA498" i="1"/>
  <c r="BA545" i="1"/>
  <c r="BA537" i="1"/>
  <c r="BA529" i="1"/>
  <c r="BA521" i="1"/>
  <c r="BA513" i="1"/>
  <c r="BA497" i="1"/>
  <c r="BA468" i="1"/>
  <c r="BA460" i="1"/>
  <c r="BA452" i="1"/>
  <c r="BA438" i="1"/>
  <c r="BA397" i="1"/>
  <c r="BA387" i="1"/>
  <c r="BA377" i="1"/>
  <c r="BA360" i="1"/>
  <c r="BA352" i="1"/>
  <c r="BA312" i="1"/>
  <c r="BA280" i="1"/>
  <c r="BA265" i="1"/>
  <c r="BA254" i="1"/>
  <c r="BA214" i="1"/>
  <c r="BA206" i="1"/>
  <c r="BA198" i="1"/>
  <c r="BA21" i="1"/>
  <c r="BA13" i="1"/>
  <c r="BA543" i="1"/>
  <c r="BA535" i="1"/>
  <c r="BA527" i="1"/>
  <c r="BA519" i="1"/>
  <c r="BA511" i="1"/>
  <c r="BA503" i="1"/>
  <c r="BA495" i="1"/>
  <c r="BA478" i="1"/>
  <c r="BA444" i="1"/>
  <c r="BA428" i="1"/>
  <c r="BA358" i="1"/>
  <c r="BA350" i="1"/>
  <c r="BA342" i="1"/>
  <c r="BA334" i="1"/>
  <c r="BA326" i="1"/>
  <c r="BA318" i="1"/>
  <c r="BA302" i="1"/>
  <c r="BA294" i="1"/>
  <c r="BA162" i="1"/>
  <c r="BA154" i="1"/>
  <c r="BA138" i="1"/>
  <c r="BA130" i="1"/>
  <c r="BA106" i="1"/>
  <c r="BA88" i="1"/>
  <c r="BA80" i="1"/>
  <c r="BA71" i="1"/>
  <c r="BA63" i="1"/>
  <c r="BA542" i="1"/>
  <c r="BA465" i="1"/>
  <c r="BA457" i="1"/>
  <c r="BA449" i="1"/>
  <c r="BA443" i="1"/>
  <c r="BA435" i="1"/>
  <c r="BA402" i="1"/>
  <c r="BA382" i="1"/>
  <c r="BA374" i="1"/>
  <c r="BA325" i="1"/>
  <c r="BA309" i="1"/>
  <c r="BA285" i="1"/>
  <c r="BA275" i="1"/>
  <c r="BA262" i="1"/>
  <c r="BA251" i="1"/>
  <c r="BA243" i="1"/>
  <c r="BA227" i="1"/>
  <c r="BA219" i="1"/>
  <c r="BA211" i="1"/>
  <c r="BA203" i="1"/>
  <c r="BA179" i="1"/>
  <c r="BA171" i="1"/>
  <c r="BA145" i="1"/>
  <c r="BA137" i="1"/>
  <c r="BA129" i="1"/>
  <c r="BA10" i="1"/>
  <c r="BA490" i="1"/>
  <c r="BA434" i="1"/>
  <c r="BA432" i="1"/>
  <c r="BA416" i="1"/>
  <c r="BA366" i="1"/>
  <c r="BA76" i="1"/>
  <c r="BA518" i="1"/>
  <c r="BA506" i="1"/>
  <c r="BA504" i="1"/>
  <c r="BA421" i="1"/>
  <c r="BA419" i="1"/>
  <c r="BA369" i="1"/>
  <c r="BA363" i="1"/>
  <c r="BA327" i="1"/>
  <c r="BA281" i="1"/>
  <c r="BA165" i="1"/>
  <c r="BA159" i="1"/>
  <c r="BA65" i="1"/>
  <c r="BA55" i="1"/>
  <c r="BA53" i="1"/>
  <c r="BA33" i="1"/>
  <c r="BA17" i="1"/>
  <c r="BA500" i="1"/>
  <c r="BA492" i="1"/>
  <c r="BA467" i="1"/>
  <c r="BA433" i="1"/>
  <c r="BA429" i="1"/>
  <c r="BA91" i="1"/>
  <c r="BA85" i="1"/>
  <c r="BA505" i="1"/>
  <c r="BA482" i="1"/>
  <c r="BA480" i="1"/>
  <c r="BA472" i="1"/>
  <c r="BA422" i="1"/>
  <c r="BA420" i="1"/>
  <c r="BA346" i="1"/>
  <c r="BA324" i="1"/>
  <c r="BA322" i="1"/>
  <c r="BA244" i="1"/>
  <c r="BA178" i="1"/>
  <c r="BA166" i="1"/>
  <c r="BA164" i="1"/>
  <c r="BA156" i="1"/>
  <c r="BA78" i="1"/>
  <c r="BA32" i="1"/>
  <c r="BA26" i="1"/>
  <c r="BA22" i="1"/>
  <c r="BA12" i="1"/>
  <c r="BA481" i="1"/>
  <c r="BA437" i="1"/>
  <c r="BA427" i="1"/>
  <c r="BA417" i="1"/>
  <c r="BA410" i="1"/>
  <c r="BA370" i="1"/>
  <c r="BA368" i="1"/>
  <c r="BA365" i="1"/>
  <c r="BA264" i="1"/>
  <c r="BA155" i="1"/>
  <c r="BA114" i="1"/>
  <c r="BA113" i="1"/>
  <c r="BA93" i="1"/>
  <c r="BA83" i="1"/>
  <c r="BA7" i="1"/>
  <c r="AI99" i="1"/>
  <c r="AY99" i="1" s="1"/>
  <c r="BA99" i="1" s="1"/>
  <c r="AI394" i="1"/>
  <c r="AY394" i="1" s="1"/>
  <c r="AI393" i="1"/>
  <c r="AY393" i="1" s="1"/>
  <c r="AP95" i="1"/>
  <c r="AZ95" i="1" s="1"/>
  <c r="AI96" i="1"/>
  <c r="AY96" i="1" s="1"/>
  <c r="BA96" i="1" s="1"/>
  <c r="AI95" i="1"/>
  <c r="AY95" i="1" s="1"/>
  <c r="AB95" i="1"/>
  <c r="AX95" i="1" s="1"/>
  <c r="AP489" i="1"/>
  <c r="AZ489" i="1" s="1"/>
  <c r="AP488" i="1"/>
  <c r="AZ488" i="1" s="1"/>
  <c r="AP487" i="1"/>
  <c r="AZ487" i="1" s="1"/>
  <c r="AI489" i="1"/>
  <c r="AY489" i="1" s="1"/>
  <c r="AI488" i="1"/>
  <c r="AY488" i="1" s="1"/>
  <c r="AI487" i="1"/>
  <c r="AY487" i="1" s="1"/>
  <c r="AB489" i="1"/>
  <c r="AX489" i="1" s="1"/>
  <c r="AB488" i="1"/>
  <c r="AX488" i="1" s="1"/>
  <c r="AB487" i="1"/>
  <c r="AX487" i="1" s="1"/>
  <c r="AP486" i="1"/>
  <c r="AZ486" i="1" s="1"/>
  <c r="AP485" i="1"/>
  <c r="AZ485" i="1" s="1"/>
  <c r="AP484" i="1"/>
  <c r="AZ484" i="1" s="1"/>
  <c r="AI486" i="1"/>
  <c r="AY486" i="1" s="1"/>
  <c r="AI485" i="1"/>
  <c r="AY485" i="1" s="1"/>
  <c r="AI484" i="1"/>
  <c r="AY484" i="1" s="1"/>
  <c r="AB486" i="1"/>
  <c r="AX486" i="1" s="1"/>
  <c r="AB485" i="1"/>
  <c r="AX485" i="1" s="1"/>
  <c r="AB484" i="1"/>
  <c r="AX484" i="1" s="1"/>
  <c r="AP386" i="1"/>
  <c r="AZ386" i="1" s="1"/>
  <c r="AP385" i="1"/>
  <c r="AZ385" i="1" s="1"/>
  <c r="AI386" i="1"/>
  <c r="AY386" i="1" s="1"/>
  <c r="AI385" i="1"/>
  <c r="AY385" i="1" s="1"/>
  <c r="AB386" i="1"/>
  <c r="AX386" i="1" s="1"/>
  <c r="AB385" i="1"/>
  <c r="AX385" i="1" s="1"/>
  <c r="V489" i="1"/>
  <c r="AW489" i="1" s="1"/>
  <c r="V487" i="1"/>
  <c r="AW487" i="1" s="1"/>
  <c r="V394" i="1"/>
  <c r="AW394" i="1" s="1"/>
  <c r="V393" i="1"/>
  <c r="AW393" i="1" s="1"/>
  <c r="AP405" i="1"/>
  <c r="AZ405" i="1" s="1"/>
  <c r="AP406" i="1"/>
  <c r="AZ406" i="1" s="1"/>
  <c r="AP407" i="1"/>
  <c r="AZ407" i="1" s="1"/>
  <c r="AP408" i="1"/>
  <c r="AZ408" i="1" s="1"/>
  <c r="AP409" i="1"/>
  <c r="AZ409" i="1" s="1"/>
  <c r="AP404" i="1"/>
  <c r="AZ404" i="1" s="1"/>
  <c r="AI405" i="1"/>
  <c r="AY405" i="1" s="1"/>
  <c r="AI406" i="1"/>
  <c r="AY406" i="1" s="1"/>
  <c r="AI407" i="1"/>
  <c r="AY407" i="1" s="1"/>
  <c r="AI408" i="1"/>
  <c r="AY408" i="1" s="1"/>
  <c r="AI409" i="1"/>
  <c r="AY409" i="1" s="1"/>
  <c r="AI404" i="1"/>
  <c r="AY404" i="1" s="1"/>
  <c r="AB409" i="1"/>
  <c r="AX409" i="1" s="1"/>
  <c r="AB408" i="1"/>
  <c r="AX408" i="1" s="1"/>
  <c r="AB407" i="1"/>
  <c r="AX407" i="1" s="1"/>
  <c r="AB406" i="1"/>
  <c r="AX406" i="1" s="1"/>
  <c r="AB405" i="1"/>
  <c r="AX405" i="1" s="1"/>
  <c r="AB404" i="1"/>
  <c r="AX404" i="1" s="1"/>
  <c r="V404" i="1"/>
  <c r="AW404" i="1" s="1"/>
  <c r="V386" i="1"/>
  <c r="AW386" i="1" s="1"/>
  <c r="V385" i="1"/>
  <c r="AW385" i="1" s="1"/>
  <c r="BA386" i="1" l="1"/>
  <c r="BA486" i="1"/>
  <c r="BA488" i="1"/>
  <c r="BA409" i="1"/>
  <c r="BA489" i="1"/>
  <c r="BA95" i="1"/>
  <c r="BA405" i="1"/>
  <c r="BA406" i="1"/>
  <c r="BA385" i="1"/>
  <c r="BA485" i="1"/>
  <c r="BA404" i="1"/>
  <c r="BA407" i="1"/>
  <c r="BA408" i="1"/>
  <c r="BA487" i="1"/>
  <c r="BA484" i="1"/>
  <c r="AB477" i="1"/>
  <c r="AX477" i="1" s="1"/>
  <c r="BA477" i="1" s="1"/>
  <c r="AB475" i="1"/>
  <c r="AX475" i="1" s="1"/>
  <c r="AB474" i="1"/>
  <c r="AX474" i="1" s="1"/>
  <c r="AB473" i="1"/>
  <c r="AX473" i="1" s="1"/>
  <c r="V476" i="1"/>
  <c r="AW476" i="1" s="1"/>
  <c r="BA476" i="1" s="1"/>
  <c r="V475" i="1"/>
  <c r="AW475" i="1" s="1"/>
  <c r="V474" i="1"/>
  <c r="AW474" i="1" s="1"/>
  <c r="V473" i="1"/>
  <c r="AW473" i="1" s="1"/>
  <c r="BA473" i="1" l="1"/>
  <c r="BA475" i="1"/>
  <c r="BA474" i="1"/>
  <c r="AI453" i="1"/>
  <c r="AY453" i="1" s="1"/>
  <c r="AB453" i="1"/>
  <c r="AX453" i="1" s="1"/>
  <c r="AI448" i="1"/>
  <c r="AY448" i="1" s="1"/>
  <c r="AB448" i="1"/>
  <c r="AX448" i="1" s="1"/>
  <c r="AP448" i="1"/>
  <c r="AZ448" i="1" s="1"/>
  <c r="AI451" i="1"/>
  <c r="AY451" i="1" s="1"/>
  <c r="AI450" i="1"/>
  <c r="AY450" i="1" s="1"/>
  <c r="AB451" i="1"/>
  <c r="AX451" i="1" s="1"/>
  <c r="AB450" i="1"/>
  <c r="AX450" i="1" s="1"/>
  <c r="BA453" i="1" l="1"/>
  <c r="BA450" i="1"/>
  <c r="BA451" i="1"/>
  <c r="BA448" i="1"/>
  <c r="V98" i="1"/>
  <c r="AW98" i="1" s="1"/>
  <c r="V34" i="1"/>
  <c r="AW34" i="1" s="1"/>
  <c r="BA34" i="1" s="1"/>
  <c r="V56" i="1"/>
  <c r="AW56" i="1" s="1"/>
  <c r="BA56" i="1" s="1"/>
  <c r="V58" i="1"/>
  <c r="AW58" i="1" s="1"/>
  <c r="BA58" i="1" s="1"/>
  <c r="AB98" i="1" l="1"/>
  <c r="AP372" i="1"/>
  <c r="AZ372" i="1" s="1"/>
  <c r="AP371" i="1"/>
  <c r="AZ371" i="1" s="1"/>
  <c r="AI372" i="1"/>
  <c r="AY372" i="1" s="1"/>
  <c r="AI371" i="1"/>
  <c r="AY371" i="1" s="1"/>
  <c r="AB371" i="1"/>
  <c r="AX371" i="1" s="1"/>
  <c r="AB372" i="1"/>
  <c r="AX372" i="1" s="1"/>
  <c r="V371" i="1"/>
  <c r="AW371" i="1" s="1"/>
  <c r="BA372" i="1" l="1"/>
  <c r="BA371" i="1"/>
  <c r="AI98" i="1"/>
  <c r="AY98" i="1" s="1"/>
  <c r="AX98" i="1"/>
  <c r="V258" i="1"/>
  <c r="AW258" i="1" s="1"/>
  <c r="V257" i="1"/>
  <c r="AW257" i="1" s="1"/>
  <c r="AW256" i="1"/>
  <c r="AW266" i="1"/>
  <c r="V279" i="1"/>
  <c r="AW279" i="1" s="1"/>
  <c r="V278" i="1"/>
  <c r="AW278" i="1" s="1"/>
  <c r="AI436" i="1"/>
  <c r="AY436" i="1" s="1"/>
  <c r="AP436" i="1"/>
  <c r="AZ436" i="1" s="1"/>
  <c r="AP446" i="1"/>
  <c r="AZ446" i="1" s="1"/>
  <c r="AI446" i="1"/>
  <c r="AY446" i="1" s="1"/>
  <c r="AB446" i="1"/>
  <c r="AX446" i="1" s="1"/>
  <c r="W5" i="1"/>
  <c r="AW5" i="1" s="1"/>
  <c r="BA446" i="1" l="1"/>
  <c r="BA436" i="1"/>
  <c r="BA5" i="1"/>
  <c r="BA98" i="1"/>
  <c r="AB247" i="1"/>
  <c r="AX247" i="1" s="1"/>
  <c r="AB246" i="1"/>
  <c r="AX246" i="1" s="1"/>
  <c r="V169" i="1" l="1"/>
  <c r="AW169" i="1" s="1"/>
  <c r="BA169" i="1" s="1"/>
  <c r="V168" i="1"/>
  <c r="AW168" i="1" s="1"/>
  <c r="BA168" i="1" s="1"/>
  <c r="AB412" i="1" l="1"/>
  <c r="AX412" i="1" s="1"/>
  <c r="AB413" i="1"/>
  <c r="AX413" i="1" s="1"/>
  <c r="AB414" i="1"/>
  <c r="AX414" i="1" s="1"/>
  <c r="AB411" i="1"/>
  <c r="AX411" i="1" s="1"/>
  <c r="AI533" i="1" l="1"/>
  <c r="AY533" i="1" s="1"/>
  <c r="AI532" i="1"/>
  <c r="AY532" i="1" s="1"/>
  <c r="AB533" i="1"/>
  <c r="AX533" i="1" s="1"/>
  <c r="AB532" i="1"/>
  <c r="AX532" i="1" s="1"/>
  <c r="BA532" i="1" l="1"/>
  <c r="BA533" i="1"/>
  <c r="AB395" i="1"/>
  <c r="AX395" i="1" s="1"/>
  <c r="AB394" i="1"/>
  <c r="AX394" i="1" s="1"/>
  <c r="AB393" i="1"/>
  <c r="AX393" i="1" s="1"/>
  <c r="AP146" i="1" l="1"/>
  <c r="AZ146" i="1" s="1"/>
  <c r="AP147" i="1"/>
  <c r="AZ147" i="1" s="1"/>
  <c r="AP185" i="1"/>
  <c r="AZ185" i="1" s="1"/>
  <c r="AP186" i="1"/>
  <c r="AZ186" i="1" s="1"/>
  <c r="AP187" i="1"/>
  <c r="AZ187" i="1" s="1"/>
  <c r="AP189" i="1"/>
  <c r="AZ189" i="1" s="1"/>
  <c r="AP196" i="1"/>
  <c r="AZ196" i="1" s="1"/>
  <c r="AP195" i="1"/>
  <c r="AZ195" i="1" s="1"/>
  <c r="AP200" i="1"/>
  <c r="AZ200" i="1" s="1"/>
  <c r="AP199" i="1"/>
  <c r="AZ199" i="1" s="1"/>
  <c r="AP220" i="1"/>
  <c r="AZ220" i="1" s="1"/>
  <c r="AP221" i="1"/>
  <c r="AZ221" i="1" s="1"/>
  <c r="AP236" i="1"/>
  <c r="AZ236" i="1" s="1"/>
  <c r="AP234" i="1"/>
  <c r="AZ234" i="1" s="1"/>
  <c r="AP235" i="1"/>
  <c r="AZ235" i="1" s="1"/>
  <c r="AP240" i="1"/>
  <c r="AZ240" i="1" s="1"/>
  <c r="AP239" i="1"/>
  <c r="AZ239" i="1" s="1"/>
  <c r="AP238" i="1"/>
  <c r="AZ238" i="1" s="1"/>
  <c r="AP247" i="1"/>
  <c r="AZ247" i="1" s="1"/>
  <c r="AP246" i="1"/>
  <c r="AZ246" i="1" s="1"/>
  <c r="AP413" i="1"/>
  <c r="AZ413" i="1" s="1"/>
  <c r="AP412" i="1"/>
  <c r="AZ412" i="1" s="1"/>
  <c r="AP411" i="1"/>
  <c r="AZ411" i="1" s="1"/>
  <c r="AP414" i="1"/>
  <c r="AZ414" i="1" s="1"/>
  <c r="AI414" i="1"/>
  <c r="AY414" i="1" s="1"/>
  <c r="AI413" i="1"/>
  <c r="AY413" i="1" s="1"/>
  <c r="AI412" i="1"/>
  <c r="AY412" i="1" s="1"/>
  <c r="AI411" i="1"/>
  <c r="AY411" i="1" s="1"/>
  <c r="AI247" i="1"/>
  <c r="AY247" i="1" s="1"/>
  <c r="AI246" i="1"/>
  <c r="AY246" i="1" s="1"/>
  <c r="AI240" i="1"/>
  <c r="AY240" i="1" s="1"/>
  <c r="AI239" i="1"/>
  <c r="AY239" i="1" s="1"/>
  <c r="AI238" i="1"/>
  <c r="AY238" i="1" s="1"/>
  <c r="AI237" i="1"/>
  <c r="AY237" i="1" s="1"/>
  <c r="BA237" i="1" s="1"/>
  <c r="AI236" i="1"/>
  <c r="AY236" i="1" s="1"/>
  <c r="AI235" i="1"/>
  <c r="AY235" i="1" s="1"/>
  <c r="AI234" i="1"/>
  <c r="AY234" i="1" s="1"/>
  <c r="AI221" i="1"/>
  <c r="AY221" i="1" s="1"/>
  <c r="AI220" i="1"/>
  <c r="AY220" i="1" s="1"/>
  <c r="AI200" i="1"/>
  <c r="AY200" i="1" s="1"/>
  <c r="AI199" i="1"/>
  <c r="AY199" i="1" s="1"/>
  <c r="AI196" i="1"/>
  <c r="AY196" i="1" s="1"/>
  <c r="AI195" i="1"/>
  <c r="AY195" i="1" s="1"/>
  <c r="AI189" i="1"/>
  <c r="AY189" i="1" s="1"/>
  <c r="AI188" i="1"/>
  <c r="AY188" i="1" s="1"/>
  <c r="AI187" i="1"/>
  <c r="AY187" i="1" s="1"/>
  <c r="AI186" i="1"/>
  <c r="AY186" i="1" s="1"/>
  <c r="AI185" i="1"/>
  <c r="AY185" i="1" s="1"/>
  <c r="AI149" i="1"/>
  <c r="AY149" i="1" s="1"/>
  <c r="BA149" i="1" s="1"/>
  <c r="AI148" i="1"/>
  <c r="AY148" i="1" s="1"/>
  <c r="BA148" i="1" s="1"/>
  <c r="AI147" i="1"/>
  <c r="AY147" i="1" s="1"/>
  <c r="AI146" i="1"/>
  <c r="AY146" i="1" s="1"/>
  <c r="AB234" i="1"/>
  <c r="AX234" i="1" s="1"/>
  <c r="AB189" i="1"/>
  <c r="AX189" i="1" s="1"/>
  <c r="AB188" i="1"/>
  <c r="AX188" i="1" s="1"/>
  <c r="AB187" i="1"/>
  <c r="AX187" i="1" s="1"/>
  <c r="AB186" i="1"/>
  <c r="AX186" i="1" s="1"/>
  <c r="AB185" i="1"/>
  <c r="AX185" i="1" s="1"/>
  <c r="BA188" i="1" l="1"/>
  <c r="BA220" i="1"/>
  <c r="BA199" i="1"/>
  <c r="BA238" i="1"/>
  <c r="BA189" i="1"/>
  <c r="BA221" i="1"/>
  <c r="BA246" i="1"/>
  <c r="BA247" i="1"/>
  <c r="BA147" i="1"/>
  <c r="BA187" i="1"/>
  <c r="BA200" i="1"/>
  <c r="BA239" i="1"/>
  <c r="BA234" i="1"/>
  <c r="BA146" i="1"/>
  <c r="BA411" i="1"/>
  <c r="BA195" i="1"/>
  <c r="BA236" i="1"/>
  <c r="BA412" i="1"/>
  <c r="BA240" i="1"/>
  <c r="BA185" i="1"/>
  <c r="BA196" i="1"/>
  <c r="BA413" i="1"/>
  <c r="BA235" i="1"/>
  <c r="BA186" i="1"/>
  <c r="BA414" i="1"/>
  <c r="AI341" i="1"/>
  <c r="AY341" i="1" s="1"/>
  <c r="BA341" i="1" s="1"/>
  <c r="AP344" i="1" l="1"/>
  <c r="AZ344" i="1" s="1"/>
  <c r="BA344" i="1" s="1"/>
  <c r="AP343" i="1"/>
  <c r="AZ343" i="1" s="1"/>
  <c r="AP333" i="1"/>
  <c r="AZ333" i="1" s="1"/>
  <c r="BA333" i="1" s="1"/>
  <c r="AP330" i="1"/>
  <c r="AZ330" i="1" s="1"/>
  <c r="BA330" i="1" s="1"/>
  <c r="AP321" i="1"/>
  <c r="AZ321" i="1" s="1"/>
  <c r="BA321" i="1" s="1"/>
  <c r="AP310" i="1"/>
  <c r="AZ310" i="1" s="1"/>
  <c r="BA310" i="1" s="1"/>
  <c r="AP308" i="1"/>
  <c r="AZ308" i="1" s="1"/>
  <c r="AR307" i="1"/>
  <c r="AZ307" i="1" s="1"/>
  <c r="BA307" i="1" s="1"/>
  <c r="AP306" i="1"/>
  <c r="AZ306" i="1" s="1"/>
  <c r="BA306" i="1" s="1"/>
  <c r="AR303" i="1"/>
  <c r="AP303" i="1"/>
  <c r="AP286" i="1"/>
  <c r="AZ286" i="1" s="1"/>
  <c r="AP284" i="1"/>
  <c r="AZ284" i="1" s="1"/>
  <c r="BA284" i="1" s="1"/>
  <c r="AP283" i="1"/>
  <c r="AZ283" i="1" s="1"/>
  <c r="AI315" i="1"/>
  <c r="AY315" i="1" s="1"/>
  <c r="BA315" i="1" s="1"/>
  <c r="AI308" i="1"/>
  <c r="AY308" i="1" s="1"/>
  <c r="AK303" i="1"/>
  <c r="AI303" i="1"/>
  <c r="AI283" i="1"/>
  <c r="AY283" i="1" s="1"/>
  <c r="AB343" i="1"/>
  <c r="AX343" i="1" s="1"/>
  <c r="AB323" i="1"/>
  <c r="AX323" i="1" s="1"/>
  <c r="BA323" i="1" s="1"/>
  <c r="AD319" i="1"/>
  <c r="AX319" i="1" s="1"/>
  <c r="BA319" i="1" s="1"/>
  <c r="AB308" i="1"/>
  <c r="AX308" i="1" s="1"/>
  <c r="AD303" i="1"/>
  <c r="AX303" i="1" s="1"/>
  <c r="AB286" i="1"/>
  <c r="AX286" i="1" s="1"/>
  <c r="AZ303" i="1" l="1"/>
  <c r="BA343" i="1"/>
  <c r="BA283" i="1"/>
  <c r="BA286" i="1"/>
  <c r="BA308" i="1"/>
  <c r="AY303" i="1"/>
  <c r="AB79" i="1"/>
  <c r="AX79" i="1" s="1"/>
  <c r="V79" i="1"/>
  <c r="AW79" i="1" s="1"/>
  <c r="AB82" i="1"/>
  <c r="AX82" i="1" s="1"/>
  <c r="BA82" i="1" s="1"/>
  <c r="AR81" i="1"/>
  <c r="AP81" i="1"/>
  <c r="AK81" i="1"/>
  <c r="AI81" i="1"/>
  <c r="BA303" i="1" l="1"/>
  <c r="AZ81" i="1"/>
  <c r="AY81" i="1"/>
  <c r="BA79" i="1"/>
  <c r="AI73" i="1"/>
  <c r="AY73" i="1" s="1"/>
  <c r="BA73" i="1" s="1"/>
  <c r="AP395" i="1"/>
  <c r="AZ395" i="1" s="1"/>
  <c r="BA395" i="1" s="1"/>
  <c r="AP394" i="1"/>
  <c r="AZ394" i="1" s="1"/>
  <c r="BA394" i="1" s="1"/>
  <c r="AP393" i="1"/>
  <c r="AZ393" i="1" s="1"/>
  <c r="BA393" i="1" s="1"/>
  <c r="BA81" i="1" l="1"/>
  <c r="AP270" i="1"/>
  <c r="AZ270" i="1" s="1"/>
  <c r="AI298" i="1"/>
  <c r="AY298" i="1" s="1"/>
  <c r="BA298" i="1" s="1"/>
  <c r="AI296" i="1"/>
  <c r="AY296" i="1" s="1"/>
  <c r="BA296" i="1" s="1"/>
  <c r="AI279" i="1"/>
  <c r="AY279" i="1" s="1"/>
  <c r="AI278" i="1"/>
  <c r="AY278" i="1" s="1"/>
  <c r="AI267" i="1"/>
  <c r="AY267" i="1" s="1"/>
  <c r="AI268" i="1"/>
  <c r="AY268" i="1" s="1"/>
  <c r="AI269" i="1"/>
  <c r="AY269" i="1" s="1"/>
  <c r="AI270" i="1"/>
  <c r="AY270" i="1" s="1"/>
  <c r="AY266" i="1"/>
  <c r="AI258" i="1"/>
  <c r="AY258" i="1" s="1"/>
  <c r="AI257" i="1"/>
  <c r="AY257" i="1" s="1"/>
  <c r="AI256" i="1"/>
  <c r="AY256" i="1" s="1"/>
  <c r="AB258" i="1"/>
  <c r="AX258" i="1" s="1"/>
  <c r="AB257" i="1"/>
  <c r="AX257" i="1" s="1"/>
  <c r="AX256" i="1"/>
  <c r="AB267" i="1"/>
  <c r="AX267" i="1" s="1"/>
  <c r="AB268" i="1"/>
  <c r="AX268" i="1" s="1"/>
  <c r="AB269" i="1"/>
  <c r="AX269" i="1" s="1"/>
  <c r="AB270" i="1"/>
  <c r="AX270" i="1" s="1"/>
  <c r="AX266" i="1"/>
  <c r="V267" i="1"/>
  <c r="AW267" i="1" s="1"/>
  <c r="V268" i="1"/>
  <c r="AW268" i="1" s="1"/>
  <c r="V269" i="1"/>
  <c r="AW269" i="1" s="1"/>
  <c r="V270" i="1"/>
  <c r="AW270" i="1" s="1"/>
  <c r="AB279" i="1"/>
  <c r="AX279" i="1" s="1"/>
  <c r="AB278" i="1"/>
  <c r="AX278" i="1" s="1"/>
  <c r="BA256" i="1" l="1"/>
  <c r="BA257" i="1"/>
  <c r="BA258" i="1"/>
  <c r="BA266" i="1"/>
  <c r="BA268" i="1"/>
  <c r="BA279" i="1"/>
  <c r="BA270" i="1"/>
  <c r="BA269" i="1"/>
  <c r="BA267" i="1"/>
  <c r="BA278" i="1"/>
  <c r="AP18" i="1"/>
  <c r="AZ18" i="1" s="1"/>
  <c r="BA18" i="1" s="1"/>
  <c r="AP4" i="1"/>
  <c r="AZ4" i="1" s="1"/>
  <c r="AI4" i="1"/>
  <c r="AY4" i="1" s="1"/>
  <c r="AB4" i="1"/>
  <c r="AX4" i="1" s="1"/>
  <c r="BA4" i="1" l="1"/>
  <c r="AI388" i="1"/>
  <c r="AP388" i="1" l="1"/>
  <c r="AZ388" i="1" s="1"/>
  <c r="AY388" i="1"/>
  <c r="AI426" i="1"/>
  <c r="AY426" i="1" s="1"/>
  <c r="BA426" i="1" s="1"/>
  <c r="AI425" i="1"/>
  <c r="AY425" i="1" s="1"/>
  <c r="BA425" i="1" s="1"/>
  <c r="AF431" i="1"/>
  <c r="AX431" i="1" s="1"/>
  <c r="BA431" i="1" s="1"/>
  <c r="AF430" i="1"/>
  <c r="AX430" i="1" s="1"/>
  <c r="BA430" i="1" s="1"/>
  <c r="BA388" i="1" l="1"/>
  <c r="X39" i="1"/>
  <c r="X52" i="1"/>
  <c r="X51" i="1"/>
  <c r="X47" i="1"/>
  <c r="W52" i="1"/>
  <c r="W51" i="1"/>
  <c r="W50" i="1"/>
  <c r="AW50" i="1" s="1"/>
  <c r="BA50" i="1" s="1"/>
  <c r="W49" i="1"/>
  <c r="AW49" i="1" s="1"/>
  <c r="BA49" i="1" s="1"/>
  <c r="W48" i="1"/>
  <c r="AW48" i="1" s="1"/>
  <c r="BA48" i="1" s="1"/>
  <c r="W47" i="1"/>
  <c r="AW47" i="1" s="1"/>
  <c r="BA47" i="1" s="1"/>
  <c r="W46" i="1"/>
  <c r="AW46" i="1" s="1"/>
  <c r="BA46" i="1" s="1"/>
  <c r="W45" i="1"/>
  <c r="AW45" i="1" s="1"/>
  <c r="BA45" i="1" s="1"/>
  <c r="W44" i="1"/>
  <c r="AW44" i="1" s="1"/>
  <c r="BA44" i="1" s="1"/>
  <c r="W43" i="1"/>
  <c r="V43" i="1"/>
  <c r="AW43" i="1" s="1"/>
  <c r="BA43" i="1" s="1"/>
  <c r="V42" i="1"/>
  <c r="W42" i="1"/>
  <c r="W37" i="1"/>
  <c r="AW37" i="1" s="1"/>
  <c r="BA37" i="1" s="1"/>
  <c r="W40" i="1"/>
  <c r="AW40" i="1" s="1"/>
  <c r="BA40" i="1" s="1"/>
  <c r="W39" i="1"/>
  <c r="AW39" i="1" s="1"/>
  <c r="BA39" i="1" s="1"/>
  <c r="W38" i="1"/>
  <c r="AW38" i="1" s="1"/>
  <c r="BA38" i="1" s="1"/>
  <c r="W35" i="1"/>
  <c r="AW35" i="1" s="1"/>
  <c r="BA35" i="1" s="1"/>
  <c r="W31" i="1"/>
  <c r="V31" i="1"/>
  <c r="AW52" i="1" l="1"/>
  <c r="BA52" i="1" s="1"/>
  <c r="AW51" i="1"/>
  <c r="BA51" i="1" s="1"/>
  <c r="AW31" i="1"/>
  <c r="BA31" i="1" s="1"/>
  <c r="AW42" i="1"/>
  <c r="BA42" i="1" s="1"/>
  <c r="AQ15" i="1" l="1"/>
  <c r="AP15" i="1"/>
  <c r="AI24" i="1"/>
  <c r="AJ23" i="1"/>
  <c r="AJ15" i="1"/>
  <c r="AI15" i="1"/>
  <c r="AC15" i="1"/>
  <c r="AB15" i="1"/>
  <c r="AC6" i="1"/>
  <c r="AY15" i="1" l="1"/>
  <c r="AZ15" i="1"/>
  <c r="AX15" i="1"/>
  <c r="AQ23" i="1"/>
  <c r="AZ23" i="1" s="1"/>
  <c r="AY23" i="1"/>
  <c r="AJ6" i="1"/>
  <c r="AX6" i="1"/>
  <c r="AP24" i="1"/>
  <c r="AZ24" i="1" s="1"/>
  <c r="AY24" i="1"/>
  <c r="AP120" i="1"/>
  <c r="AZ120" i="1" s="1"/>
  <c r="BA120" i="1" s="1"/>
  <c r="AP119" i="1"/>
  <c r="AZ119" i="1" s="1"/>
  <c r="AP118" i="1"/>
  <c r="AZ118" i="1" s="1"/>
  <c r="AP116" i="1"/>
  <c r="AZ116" i="1" s="1"/>
  <c r="AP115" i="1"/>
  <c r="AZ115" i="1" s="1"/>
  <c r="AI122" i="1"/>
  <c r="AI111" i="1"/>
  <c r="AI110" i="1"/>
  <c r="AI102" i="1"/>
  <c r="AY102" i="1" s="1"/>
  <c r="BA102" i="1" s="1"/>
  <c r="AC201" i="1"/>
  <c r="AX201" i="1" s="1"/>
  <c r="BA201" i="1" s="1"/>
  <c r="AB124" i="1"/>
  <c r="AB123" i="1"/>
  <c r="AB121" i="1"/>
  <c r="AB119" i="1"/>
  <c r="AX119" i="1" s="1"/>
  <c r="AB118" i="1"/>
  <c r="AX118" i="1" s="1"/>
  <c r="AB117" i="1"/>
  <c r="AX117" i="1" s="1"/>
  <c r="BA117" i="1" s="1"/>
  <c r="AB116" i="1"/>
  <c r="AX116" i="1" s="1"/>
  <c r="AB115" i="1"/>
  <c r="AX115" i="1" s="1"/>
  <c r="AB112" i="1"/>
  <c r="AB110" i="1"/>
  <c r="AX110" i="1" s="1"/>
  <c r="AB103" i="1"/>
  <c r="AB100" i="1"/>
  <c r="AB97" i="1"/>
  <c r="AX97" i="1" s="1"/>
  <c r="BA97" i="1" s="1"/>
  <c r="AB94" i="1"/>
  <c r="BA15" i="1" l="1"/>
  <c r="BA118" i="1"/>
  <c r="BA119" i="1"/>
  <c r="BA23" i="1"/>
  <c r="AI103" i="1"/>
  <c r="AY103" i="1" s="1"/>
  <c r="AX103" i="1"/>
  <c r="AI112" i="1"/>
  <c r="AX112" i="1"/>
  <c r="AI121" i="1"/>
  <c r="AX121" i="1"/>
  <c r="AI124" i="1"/>
  <c r="AX124" i="1"/>
  <c r="AP111" i="1"/>
  <c r="AZ111" i="1" s="1"/>
  <c r="AY111" i="1"/>
  <c r="AI94" i="1"/>
  <c r="AX94" i="1"/>
  <c r="AI100" i="1"/>
  <c r="AY100" i="1" s="1"/>
  <c r="AX100" i="1"/>
  <c r="AI123" i="1"/>
  <c r="AX123" i="1"/>
  <c r="AP110" i="1"/>
  <c r="AZ110" i="1" s="1"/>
  <c r="AY110" i="1"/>
  <c r="AP122" i="1"/>
  <c r="AZ122" i="1" s="1"/>
  <c r="AY122" i="1"/>
  <c r="BA116" i="1"/>
  <c r="BA24" i="1"/>
  <c r="AQ6" i="1"/>
  <c r="AZ6" i="1" s="1"/>
  <c r="AY6" i="1"/>
  <c r="BA115" i="1"/>
  <c r="V101" i="1"/>
  <c r="AW101" i="1" s="1"/>
  <c r="BA110" i="1" l="1"/>
  <c r="BA111" i="1"/>
  <c r="BA122" i="1"/>
  <c r="BA100" i="1"/>
  <c r="BA6" i="1"/>
  <c r="AP123" i="1"/>
  <c r="AZ123" i="1" s="1"/>
  <c r="AY123" i="1"/>
  <c r="BA103" i="1"/>
  <c r="AP94" i="1"/>
  <c r="AZ94" i="1" s="1"/>
  <c r="AY94" i="1"/>
  <c r="AP124" i="1"/>
  <c r="AZ124" i="1" s="1"/>
  <c r="AY124" i="1"/>
  <c r="AP121" i="1"/>
  <c r="AZ121" i="1" s="1"/>
  <c r="AY121" i="1"/>
  <c r="AP112" i="1"/>
  <c r="AZ112" i="1" s="1"/>
  <c r="AY112" i="1"/>
  <c r="AB101" i="1"/>
  <c r="BA123" i="1" l="1"/>
  <c r="BA112" i="1"/>
  <c r="BA124" i="1"/>
  <c r="BA121" i="1"/>
  <c r="AI101" i="1"/>
  <c r="AY101" i="1" s="1"/>
  <c r="AX101" i="1"/>
  <c r="BA94" i="1"/>
  <c r="F282" i="1"/>
  <c r="BA1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Usaurio</author>
  </authors>
  <commentList>
    <comment ref="I80" authorId="0" shapeId="0" xr:uid="{00000000-0006-0000-0000-000001000000}">
      <text>
        <r>
          <rPr>
            <b/>
            <sz val="9"/>
            <color indexed="81"/>
            <rFont val="Tahoma"/>
            <family val="2"/>
          </rPr>
          <t>Usaurio:</t>
        </r>
        <r>
          <rPr>
            <sz val="9"/>
            <color indexed="81"/>
            <rFont val="Tahoma"/>
            <family val="2"/>
          </rPr>
          <t xml:space="preserve">
no coincide la anualización de Marlon con la de Daniel</t>
        </r>
      </text>
    </comment>
    <comment ref="AP334" authorId="0" shapeId="0" xr:uid="{00000000-0006-0000-0000-000003000000}">
      <text>
        <r>
          <rPr>
            <b/>
            <sz val="9"/>
            <color indexed="81"/>
            <rFont val="Tahoma"/>
            <family val="2"/>
          </rPr>
          <t>Usaurio:</t>
        </r>
        <r>
          <rPr>
            <sz val="9"/>
            <color indexed="81"/>
            <rFont val="Tahoma"/>
            <family val="2"/>
          </rPr>
          <t xml:space="preserve">
no tiene resultado programdo </t>
        </r>
      </text>
    </comment>
  </commentList>
</comments>
</file>

<file path=xl/sharedStrings.xml><?xml version="1.0" encoding="utf-8"?>
<sst xmlns="http://schemas.openxmlformats.org/spreadsheetml/2006/main" count="8271" uniqueCount="1698">
  <si>
    <t xml:space="preserve">Reto </t>
  </si>
  <si>
    <t>Politica</t>
  </si>
  <si>
    <t xml:space="preserve">Programa </t>
  </si>
  <si>
    <t>Indicador de Resultado</t>
  </si>
  <si>
    <t>LINEA BASE</t>
  </si>
  <si>
    <t>Meta del cuatrienio</t>
  </si>
  <si>
    <t>Proyecto</t>
  </si>
  <si>
    <t>Indicador de producto</t>
  </si>
  <si>
    <t>Linea de base</t>
  </si>
  <si>
    <t>Responsable</t>
  </si>
  <si>
    <t>ODS</t>
  </si>
  <si>
    <t>Sector</t>
  </si>
  <si>
    <t>Tipo de indicador</t>
  </si>
  <si>
    <t>PROGRAMACION FISICA</t>
  </si>
  <si>
    <t xml:space="preserve">PROGRAMACION FINANCIERA
</t>
  </si>
  <si>
    <t>PROGRAMACIÓN FINANCIERA</t>
  </si>
  <si>
    <t>META 2020</t>
  </si>
  <si>
    <t>META 2021</t>
  </si>
  <si>
    <t>META 2022</t>
  </si>
  <si>
    <t>META 2023</t>
  </si>
  <si>
    <t>RP</t>
  </si>
  <si>
    <t>SGP</t>
  </si>
  <si>
    <t>COFINANCIACION NACION</t>
  </si>
  <si>
    <t>COFINANCIACION DEPARTAMENTO</t>
  </si>
  <si>
    <t>CREDITO</t>
  </si>
  <si>
    <t>REGALIAS</t>
  </si>
  <si>
    <t>otros</t>
  </si>
  <si>
    <t>TOTAL</t>
  </si>
  <si>
    <t>SOY EQUITATIVA</t>
  </si>
  <si>
    <t>EDUCACIÓN DE VANGUARDIA</t>
  </si>
  <si>
    <t>Estudiante de Vanguardia</t>
  </si>
  <si>
    <t>Tasa de cobertura neta en educación
Tasa de cobertura neta en transición
Tasa de cobertura neta en educación básica
Tasa de cobertura neta en media</t>
  </si>
  <si>
    <t>102,41%
70,97%
102,73%
57,24%</t>
  </si>
  <si>
    <t>102,41%
72%
102,73%
60%</t>
  </si>
  <si>
    <t xml:space="preserve">Prestación del Servicio Educativo </t>
  </si>
  <si>
    <t xml:space="preserve">Estudiantes matriculados en el sector oficial </t>
  </si>
  <si>
    <t>Secretaría de Educación</t>
  </si>
  <si>
    <t>4. Educación de calidad</t>
  </si>
  <si>
    <t>A.1. Educación</t>
  </si>
  <si>
    <t>Incremento</t>
  </si>
  <si>
    <t>Porcentaje de población atendida caracterizada de acuerdo con el grupo poblaciónal al que pertenecen (etnia, afros, rom, víctimas, en condición de discapacidad, entre otros)</t>
  </si>
  <si>
    <t>ND</t>
  </si>
  <si>
    <t>Mantenimiento</t>
  </si>
  <si>
    <t xml:space="preserve">Contratación de la Prestación del Servicio Educativo </t>
  </si>
  <si>
    <t xml:space="preserve">Porcentaje de contratación del servicio educativo </t>
  </si>
  <si>
    <t xml:space="preserve">Alimentación Escolar  </t>
  </si>
  <si>
    <t>Estudiantes beneficiados con la alimentación escolar</t>
  </si>
  <si>
    <t xml:space="preserve">Servicio de Transporte Escolar </t>
  </si>
  <si>
    <t>Estudiantes beneficiados con el servicio de transporte escolar</t>
  </si>
  <si>
    <t xml:space="preserve">Ofrecer una Educación incluyente </t>
  </si>
  <si>
    <t>Porcentaje de atención de los niños,  niñas y jóvenes con discapacidad que demanda un cupo en el sector oficial atendidos</t>
  </si>
  <si>
    <t xml:space="preserve">Porcentaje de atención de los niños, niñas y jóvenes de comunidades afrocolombianas, palenqueras y raizales </t>
  </si>
  <si>
    <t>Escuela de Calidad</t>
  </si>
  <si>
    <t xml:space="preserve">Índice Global de las instituciones educativas
</t>
  </si>
  <si>
    <t xml:space="preserve">Plan de Mejoramiento Institucional </t>
  </si>
  <si>
    <t>Porcentaje de las IED con Plan de mejoramiento institucional formulado e implementado</t>
  </si>
  <si>
    <t xml:space="preserve">Promover la Excelencia Educativa  </t>
  </si>
  <si>
    <t>Porcentaje de las IED clasificadas en categorías B, A o A+</t>
  </si>
  <si>
    <t>Implementación de Matemáticas Didácticas</t>
  </si>
  <si>
    <t>Número de IED beneficiadas con la aplicación de la metodología</t>
  </si>
  <si>
    <t xml:space="preserve">Fomento de la Lectura y Escritura </t>
  </si>
  <si>
    <t>Porcentaje de IED que cuentan con el proyecto</t>
  </si>
  <si>
    <t xml:space="preserve">Promoción del Bienestar Docente </t>
  </si>
  <si>
    <t>Porcentaje de los docentes atendidos con el plan de bienestar docente</t>
  </si>
  <si>
    <t xml:space="preserve">Formación Docente </t>
  </si>
  <si>
    <t>Porcentaje de instituciones educativas con acompañamiento formativo a docentes</t>
  </si>
  <si>
    <t xml:space="preserve">Ampliación y/o mejoramiento de la Infraestructura Educativa </t>
  </si>
  <si>
    <t>Número de aulas construidas o con mejoramiento de infraestructura</t>
  </si>
  <si>
    <t xml:space="preserve">Construcción de APP Colegios </t>
  </si>
  <si>
    <t>Número de IED intervenidos mediante alianzas públicas privadas</t>
  </si>
  <si>
    <t xml:space="preserve">Implementación Jornada única </t>
  </si>
  <si>
    <t>Número de estudiantes beneficiados con  jornada única</t>
  </si>
  <si>
    <t xml:space="preserve">Fortalecimiento de la Convivencia Escolar </t>
  </si>
  <si>
    <t xml:space="preserve">Porcentaje de IED con ruta de atención integral para la convivencia escolar
</t>
  </si>
  <si>
    <t>Porcentaje de conformación de redes interinstitucionales y familiares, con el fin de atender las problemáticas</t>
  </si>
  <si>
    <t xml:space="preserve">Implementación del Plan Bilingüismo en Colegio Públicos </t>
  </si>
  <si>
    <t>IED con el proyecto de bilingüismo</t>
  </si>
  <si>
    <t xml:space="preserve">Promoción de Educación, Cultura y Ambiente en las IED </t>
  </si>
  <si>
    <t>No de instituciones educativas impactadas con la promoción de la cultura y el ambiente</t>
  </si>
  <si>
    <t>Número de niños por computador</t>
  </si>
  <si>
    <t>Proyecto de Vida</t>
  </si>
  <si>
    <t>Fortalecimiento y continuidad de la Doble titulación</t>
  </si>
  <si>
    <t xml:space="preserve">Número de IED que ofrecen doble titulación </t>
  </si>
  <si>
    <t>Universidad al barrio</t>
  </si>
  <si>
    <t>Número de estudiantes beneficiados con el proyecto “Universidad al barrio”</t>
  </si>
  <si>
    <t>Numero de cupos asignados  a grupos afrocolombianos, negros raizales o palenqueros.</t>
  </si>
  <si>
    <t>Fomento a la Educación Superior</t>
  </si>
  <si>
    <t>Número de estudiantes beneficiados con la oferta de educación superior que se que se ofrece por las diferentes instituciones</t>
  </si>
  <si>
    <t xml:space="preserve">Apoyo a nueva sede Universidad Distrital </t>
  </si>
  <si>
    <t xml:space="preserve">Porcentaje de la gestión de acompañamiento realizada con la Universidad Distrital </t>
  </si>
  <si>
    <t>NA</t>
  </si>
  <si>
    <t>CIUDAD SALUDABLE</t>
  </si>
  <si>
    <t>Aseguramiento para Todos con Calidad</t>
  </si>
  <si>
    <t xml:space="preserve">Cobertura de aseguramiento </t>
  </si>
  <si>
    <t xml:space="preserve">Aseguramiento para la Población Pobre y Vulnerable </t>
  </si>
  <si>
    <t>Cobertura de aseguramiento de la población SISBÉN nivel 1 y 2 del 100%</t>
  </si>
  <si>
    <t>Secretaría de Salud</t>
  </si>
  <si>
    <t>3. Buena salud</t>
  </si>
  <si>
    <t>A.2. Salud</t>
  </si>
  <si>
    <t xml:space="preserve">Aseguramiento para la población Sisbén 3 y 4 </t>
  </si>
  <si>
    <t>Porcentaje de afiliación de la población Sisbén nivel 3 y 4 que no tenga capacidad de pago</t>
  </si>
  <si>
    <t xml:space="preserve">Gestión para el Aseguramiento en salud a población extranjera </t>
  </si>
  <si>
    <t>Porcentaje de migrantes irregulares cubiertos en salud en los servicios establecidos por la normatividad vigente</t>
  </si>
  <si>
    <t xml:space="preserve">Promoción de la Calidad en el Aseguramiento </t>
  </si>
  <si>
    <t>Porcentaje de EAPB cumpliendo ranking territorial</t>
  </si>
  <si>
    <t>Gestión Integral para la Intervención del Riesgo en Salud</t>
  </si>
  <si>
    <t>Tasa de mortalidad infantil (&lt; 1año) por cada mil
Tasa de mortalidad en niñez (&lt;5 años) por cada mil
Tasa de letalidad por Dengue por cada 100.000
Tasa de mortalidad ajustada por cáncer de mama por cada 100.000
Tasa de mortalidad ajustada por cáncer de próstata por cada 100.000
Tasa de mortalidad ajustada por enfermedad isquémicas del corazónpor cada 100.000</t>
  </si>
  <si>
    <t>12,4
13,9
0
20,6
24,06
105</t>
  </si>
  <si>
    <t>11
12
2
19
23
90</t>
  </si>
  <si>
    <t>Implementación del Modelo de Gestión del Riesgo en Salud</t>
  </si>
  <si>
    <t xml:space="preserve">Porcentaje de implementación del Modelo de gestión
del riesgo en salud </t>
  </si>
  <si>
    <t>Intervención de Determinantes Ambientales</t>
  </si>
  <si>
    <t>Porcentaje de acuerdos transectoriales</t>
  </si>
  <si>
    <t>Porcentaje de establecimientos de interés sanitario vigilados y controlados priorizados</t>
  </si>
  <si>
    <t>Índice de riesgo de la calidad del Agua (IRCA)</t>
  </si>
  <si>
    <t>Mantenimiento (Orientación Reducción)</t>
  </si>
  <si>
    <t xml:space="preserve">Indice de infestación larvaria de vivienda </t>
  </si>
  <si>
    <t>Cobertura de vacunación antirrábica canina y felina</t>
  </si>
  <si>
    <t>Gestión Operativa y funcional del Plan de Salud Pública</t>
  </si>
  <si>
    <t>Porcentaje de las metas del PTS cumplidas</t>
  </si>
  <si>
    <t>Porcentaje del recurso humano vinculado a los programas y proyectos de acuerdo con lo solicitado.</t>
  </si>
  <si>
    <t>Vigilancia epidemiológica</t>
  </si>
  <si>
    <t>Porcentaje de eventos de interés en salud pública controlados</t>
  </si>
  <si>
    <t>Gestión para la promoción de la Salud y prevención de la enfermedad</t>
  </si>
  <si>
    <t>Porcentaje de cumplimiento de actividades de Promoción y Prevención priorizadas en las EAPB.</t>
  </si>
  <si>
    <t>Porcentaje de cumplimiento en las EAPB del indicador de resultados cuenta de alto costo en eventos priorizados.</t>
  </si>
  <si>
    <t>Número de Instituciones Educativas Distritales cumpliendo con la estrategia “Salud en el Colegio”</t>
  </si>
  <si>
    <t>Porcentaje de EAPB implementando la ruta de promoción y mantenimiento de la salud</t>
  </si>
  <si>
    <t xml:space="preserve">Cobertura de terapia antirretroviral para VIH </t>
  </si>
  <si>
    <t xml:space="preserve">Porcentaje de gestantes con VIH cubiertas con la estrategia de reducción de la transmisión vertical.
</t>
  </si>
  <si>
    <t>Cobertura de las mujeres gestantes con 4 o más controles prenatales</t>
  </si>
  <si>
    <t>Número de instituciones con Sistema de Vigilancia Nutricional</t>
  </si>
  <si>
    <t>Promoción y fomento de la salud sexual y reproductiva en el Distrito de Barranquilla con enfoque de derechos</t>
  </si>
  <si>
    <t>No de redes juveniles para la promoción y fomento de los derechos sexuales y derechos reproductivos</t>
  </si>
  <si>
    <t>Porcentaje de Entidades Administradoras de  Planes de Beneficios de Salud (EAPB) que brindan servicios de modelo amigable para adolescentes y jóvenes</t>
  </si>
  <si>
    <t>Porcentaje de las IED priorizadas que promueven y fomentan los derechos sexuales y reproductivos</t>
  </si>
  <si>
    <t>Salud con Calidad</t>
  </si>
  <si>
    <t>Tasa de satisfacción del usuario con el servicio de salud*</t>
  </si>
  <si>
    <t>Unidad de reacción inmediata en salud (URISA)</t>
  </si>
  <si>
    <t>Porcentaje de casos y/o situaciones que requieren intervención inmediata atendidos, gestionados y cerrados.</t>
  </si>
  <si>
    <t>Número de tutelas presentadas en salud.</t>
  </si>
  <si>
    <t>Promoción de la Salud a Población con Enfoque
Diferencial</t>
  </si>
  <si>
    <t>Porcentaje de EPS implementado las rutas de atención en
salud con enfoque diferencial</t>
  </si>
  <si>
    <t>10. Reducir inequidades</t>
  </si>
  <si>
    <t>Porcentaje de EPS certificando la discapacidad de sus afiliados.</t>
  </si>
  <si>
    <t>Servicio del Centro Regulador de Urgencias y Emergencias (CRUE) y Sistema de Emergencias Médicas (SEM)</t>
  </si>
  <si>
    <t>Porcentaje de situaciones de emergencia efectivamente atendidas</t>
  </si>
  <si>
    <t>Porcentaje de cumplimiento de la referencia y contrarreferencia por las EAPB</t>
  </si>
  <si>
    <t>Porcentaje de servicios de atención prehospitalaria efectivamente atendidos por el SEM</t>
  </si>
  <si>
    <t>Certificación de la Calidad a Prestadores de Servicios de
Salud</t>
  </si>
  <si>
    <t>Porcentaje de prestadores certificados de los visitados en
condiciones de habilitación durante la vigencia</t>
  </si>
  <si>
    <t>Porcentaje de prestadores reportando indicadores de calidad con oportunidad</t>
  </si>
  <si>
    <t>Modernización y Adecuación de la Infraestructura en
Salud</t>
  </si>
  <si>
    <t>No de infraestructuras en salud modernizadas</t>
  </si>
  <si>
    <t>No de infraestructuras en salud rehabilitadas</t>
  </si>
  <si>
    <t>Sistema Integrado de Atención Ciudadana en Salud (SIAC)</t>
  </si>
  <si>
    <t>Porcentaje de implementación de la Plataforma tecnológica de información en salud</t>
  </si>
  <si>
    <t>Porcentaje de PQRSD efectivamente atendidas, gestionadas y cerradas</t>
  </si>
  <si>
    <t>VIVIENDA DIGNA PARA TODOS</t>
  </si>
  <si>
    <t>Más Viviendas</t>
  </si>
  <si>
    <t>Déficit de vivienda en la ciudad</t>
  </si>
  <si>
    <t>Promoción de instrumentos de planificación urbanística
para VIP y VIS tradicional y en suelo urbano</t>
  </si>
  <si>
    <t>Número de zonas habilitadas para el desarrollo urbano</t>
  </si>
  <si>
    <t xml:space="preserve">Secretaría de Planeación </t>
  </si>
  <si>
    <t>11. Ciudades y comunidades sostenibles</t>
  </si>
  <si>
    <t>A.7. Vivienda</t>
  </si>
  <si>
    <t>Unidades de vivienda
VIS o VIP disponibles</t>
  </si>
  <si>
    <t>Número de viviendas
VIS-VIP viabilizadas</t>
  </si>
  <si>
    <t>Habilitación de unidades de vivienda en edificios del centro histórico y corredores principales de movilidad</t>
  </si>
  <si>
    <t>Número de proyectos viabilizados para habilitar vivienda</t>
  </si>
  <si>
    <t xml:space="preserve"> Reubicación de Vivienda en Zona de Riesgo</t>
  </si>
  <si>
    <t>Número de familias localizadas en zonas de riesgo no mitigable beneficiadas con vivienda de interés prioritario</t>
  </si>
  <si>
    <t>Oficina de Gestión del Riesgo</t>
  </si>
  <si>
    <t>Promoción de Proyectos de Vivienda en el Distrito a través de la Vitrina Inmobiliaria</t>
  </si>
  <si>
    <t>Número de personas atendidas en el proceso de promoción de vivienda de interés social</t>
  </si>
  <si>
    <t>Secretaría de Planeación</t>
  </si>
  <si>
    <t>Acompañamiento social a hogares en condición de
vulnerabilidad</t>
  </si>
  <si>
    <t>Número de hogares residentes en los proyectos urbanización Gardenias, Villas San Pablo y Villas de la
Cordialidad con acompañamiento social</t>
  </si>
  <si>
    <t xml:space="preserve">Mejores Viviendas </t>
  </si>
  <si>
    <t xml:space="preserve">Titulación de Predios </t>
  </si>
  <si>
    <t>Número de predios titulados</t>
  </si>
  <si>
    <t>Incremento-Mantemiento</t>
  </si>
  <si>
    <t xml:space="preserve"> Mejoramiento de Viviendas</t>
  </si>
  <si>
    <t xml:space="preserve">Número de unidades de vivienda mejoradas mediante el subsidio </t>
  </si>
  <si>
    <t>Ordenamiento Territorial</t>
  </si>
  <si>
    <t xml:space="preserve"> Operación estratégica del río</t>
  </si>
  <si>
    <t>Porcentaje de avance del proyecto de planificación alrededor del Gran Malecón</t>
  </si>
  <si>
    <t>9. Industria, innovación, infraestructura</t>
  </si>
  <si>
    <t xml:space="preserve">A.3. Agua Potable y Saneamiento Básico </t>
  </si>
  <si>
    <t xml:space="preserve">Mejoramiento integral de barrios </t>
  </si>
  <si>
    <t>Número de barrios con planes de mejoramiento adoptados</t>
  </si>
  <si>
    <t xml:space="preserve">Adopción de la nueva de la Estratificación del Distrito </t>
  </si>
  <si>
    <t>Porcentaje de avance del estudio para la nueva estratificación</t>
  </si>
  <si>
    <t>A.17. Fortalecimiento Institucional</t>
  </si>
  <si>
    <t xml:space="preserve">Gestión de instrumentos de planificación </t>
  </si>
  <si>
    <t>Número de instrumentos de planificación urbana gestionados</t>
  </si>
  <si>
    <t>Mejores Servicios Públicos Domiciliarios</t>
  </si>
  <si>
    <t>Porcentaje de viviendas ocupadas con personas presentes que tienen acceso al servicio de acueducto
Porcentaje de viviendas ocupadas con personas presentes que tienen acceso al servicio de alcantarillado
Nivel de Satisfacción con la calidad del agua en la ciudad</t>
  </si>
  <si>
    <t>99%
97.9%
81%</t>
  </si>
  <si>
    <t>99,5%
98,5%
90%</t>
  </si>
  <si>
    <t xml:space="preserve">Construcción del Sistema de Acueducto Regional del Norte en el Distrito de Barranquilla </t>
  </si>
  <si>
    <t>litros/segundo de producción de agua  potable</t>
  </si>
  <si>
    <t>Servicios publicos</t>
  </si>
  <si>
    <t>6. Agua limpia y saneamiento</t>
  </si>
  <si>
    <t>A.3. Agua Potable y Saneamiento Básico</t>
  </si>
  <si>
    <t>Metros cúbicos almacenamiento del Sistema de Acueducto</t>
  </si>
  <si>
    <t>Construcción del colector de alcantarillado de la zona occidental del Distrito de Barranquilla</t>
  </si>
  <si>
    <t>Hectáreas con nuevo sistema de saneamiento</t>
  </si>
  <si>
    <t>Saneamiento de la Zona Nororiental de Barranquilla (Ciudad Del Río)</t>
  </si>
  <si>
    <t>Capacidad de pretratamiento avanzado de aguas residuales M3/seg.</t>
  </si>
  <si>
    <t>Ampliación y/o mejoramiento del servicio de acueducto
y alcantarillado en zonas especiales</t>
  </si>
  <si>
    <t>Zonas especiales a las que se le ha normalizado el servicio de acueducto y
alcantarillado</t>
  </si>
  <si>
    <t>Gestión cobertura gas natural</t>
  </si>
  <si>
    <t>Porcentaje de formulación de la
estrategia para acceso a subsidios y cobertura</t>
  </si>
  <si>
    <t>7. Energía asequible y sostenible</t>
  </si>
  <si>
    <t>A.6. Servicios Públicos Diferentes a Acueducto Alcantarillado y Aseo</t>
  </si>
  <si>
    <t>Gestión de las reubicaciones de líneas de alta tensión</t>
  </si>
  <si>
    <t xml:space="preserve">Porcentaje de avance del estudio de
viabilidad para la reubicación de las
líneas de alta tensión </t>
  </si>
  <si>
    <t>Regularización del Cableado Aéreo</t>
  </si>
  <si>
    <t>Kilómetros cuadrados de área urbana con
cableado regulado</t>
  </si>
  <si>
    <t>Secretaría de Control Urbano y Espacio Público</t>
  </si>
  <si>
    <t xml:space="preserve">Mejoramiento del Alumbrado Público </t>
  </si>
  <si>
    <t>No. De Luminarias LED instaladas.</t>
  </si>
  <si>
    <t>Empresa de Alumbrado Público</t>
  </si>
  <si>
    <t>Normalización de Redes Eléctricas</t>
  </si>
  <si>
    <t>Zonas subnormales a
las que se le ha
normalizado el
servicio de energía
eléctrica</t>
  </si>
  <si>
    <t>Subsidios de servicios públicos domiciliarios</t>
  </si>
  <si>
    <t>Porcentaje del subsidio efectivamente
entregado</t>
  </si>
  <si>
    <t>Secretaría de Hacienda</t>
  </si>
  <si>
    <t>PROMOCIÓN DE LA INCLUSIÓN SOCIAL</t>
  </si>
  <si>
    <t>Primera infancia</t>
  </si>
  <si>
    <t>Trabajo infantil</t>
  </si>
  <si>
    <t>Atención Integral e Intersectorial</t>
  </si>
  <si>
    <t>No. de cupos en servicio de educación inicial anualmente a la primera infancia y a
mujeres gestantes en servicios de educación inicial en el marco de la atención integral a la primera infancia y/o
complementarios que loamplíen, modifiquen o mejoren a través de terceros
en el cuatrienio.</t>
  </si>
  <si>
    <t>Secretaría de Gestión Social</t>
  </si>
  <si>
    <t>1. Poner fin a la pobreza</t>
  </si>
  <si>
    <t>A.14. Atención a Grupos Vulnerables - Promoción Social</t>
  </si>
  <si>
    <t xml:space="preserve">Implementación de política pública de la primera infancia  </t>
  </si>
  <si>
    <t>Porcentaje de implementación del plan de acción de la política pública</t>
  </si>
  <si>
    <t>Número de estrategias de intervención en primera infancia desarrolladas</t>
  </si>
  <si>
    <t xml:space="preserve">Construcción de Nuevos CDIs  </t>
  </si>
  <si>
    <t>No. De CDI en operación del Distrito</t>
  </si>
  <si>
    <t>Niños, Niñas y Adolescentes</t>
  </si>
  <si>
    <t>Formulación e Implementación de la Política Publica
Niños, Niñas y Adolescentes</t>
  </si>
  <si>
    <t xml:space="preserve">Número de mesas de participación de niños, niñas y adolescentes.
</t>
  </si>
  <si>
    <t>Porcentaje de implementación de la
política pública Niños,
Niñas y Adolescentes</t>
  </si>
  <si>
    <t>Internado Víctor Tamayo (Atención en Centros Especializados)</t>
  </si>
  <si>
    <t>Número de niños, niñas y adolescentes que se encuentren en situación
de vulnerabilidad atendidos mediante
acompañamiento interdisciplinario y
especializado</t>
  </si>
  <si>
    <t>Prevención y Erradicación del Trabajo Infantil y sus Peores Formas en Barranquilla</t>
  </si>
  <si>
    <t xml:space="preserve">Porcentaje de Niños, niñas y adolescentes en identificados en riesgo de mendicidad, explotación laboral y /o trabajo infantil
</t>
  </si>
  <si>
    <t xml:space="preserve"> Lúdica para la Prevención (Casa Lúdica)</t>
  </si>
  <si>
    <t>Niños, niñas, adolescentes
y sus núcleos familiares
atendidos y sensibilizados
como sujetos de derecho</t>
  </si>
  <si>
    <t>Hogar de Paso</t>
  </si>
  <si>
    <t xml:space="preserve">Porcentaje de implementación de las actividades de atención en el Hogar de Paso </t>
  </si>
  <si>
    <t>mantenimiento</t>
  </si>
  <si>
    <t>Juventud</t>
  </si>
  <si>
    <t>Tasa de desempleo juvenil</t>
  </si>
  <si>
    <t>Juventud con Sentido</t>
  </si>
  <si>
    <t>No. Jóvenes fortalecidos en el ámbito
organizacional y de participación</t>
  </si>
  <si>
    <t>No. De Jóvenes empoderados y con
oportunidades de desarrollo promovidas</t>
  </si>
  <si>
    <t>Número de jóvenes de la población NARP inscritos y acompañados en programas de
empoderamiento juvenil</t>
  </si>
  <si>
    <t>Secretaría de Gobierno 
Secretaría de Gestión Social</t>
  </si>
  <si>
    <t>Puesta en Marcha de la Escuela de Liderazgo</t>
  </si>
  <si>
    <t xml:space="preserve">No. De Jóvenes cualificados en liderazgo y
ciudadanía juvenil
</t>
  </si>
  <si>
    <t>Operación de las Casas de Juventud</t>
  </si>
  <si>
    <t>Número de jóvenes con oportunidades de acceso a servicios diferenciados</t>
  </si>
  <si>
    <t xml:space="preserve">Espacios para la Juventud </t>
  </si>
  <si>
    <t>Espacios de Juventud Creados y/o adecuados en operación</t>
  </si>
  <si>
    <t>Implementación del Estímulo Social de Transporte (ESTE)</t>
  </si>
  <si>
    <t>Número de jóvenes beneficiados con el
Subsidio</t>
  </si>
  <si>
    <t>Adulto Mayor</t>
  </si>
  <si>
    <t>Incidencia de pobreza
extrema</t>
  </si>
  <si>
    <t>Formulación de la Política Pública del Adulto Mayor</t>
  </si>
  <si>
    <t>Porcentaje de avance en la formulación de la política Pública Distrital para la protección del Adulto Mayor</t>
  </si>
  <si>
    <t xml:space="preserve">Operación de los Centros de Vida </t>
  </si>
  <si>
    <t>Número de adultos mayores
atendidos</t>
  </si>
  <si>
    <t xml:space="preserve">Centros De Bienestar </t>
  </si>
  <si>
    <t>No. De Adultos Mayores Atendidos en asilos u hogares de bienestar</t>
  </si>
  <si>
    <t xml:space="preserve">Subsidio Distrital y/o Nacional al Adulto Mayor  </t>
  </si>
  <si>
    <t>No. De Adultos Mayores beneficiados con el subsidio</t>
  </si>
  <si>
    <t xml:space="preserve">Construcción y/o adecuación de centros de vida </t>
  </si>
  <si>
    <t>No. De Centros de vida construidos y /o adecuados en el Distrito</t>
  </si>
  <si>
    <t>Habitante de Calle</t>
  </si>
  <si>
    <t xml:space="preserve">Recuperación Social de los Habitantes de la Calle del Distrito de Barranquilla </t>
  </si>
  <si>
    <t>Número de habitantes de la
calle atendidos y/o
recuperados</t>
  </si>
  <si>
    <t xml:space="preserve">Centro de acogida día para habitantes de calle en el Distrito de Barranquilla </t>
  </si>
  <si>
    <t xml:space="preserve">Porcentaje de habitantes de calle atendidos integralmente en el centro de acogida día </t>
  </si>
  <si>
    <t xml:space="preserve">Formulación e Implementación De La Política Pública Social Para Habitantes De Calle Del Distrito De Barranquilla </t>
  </si>
  <si>
    <t>Porcentaje de formulación e implementación de la política Pública Social para los habitantes de la calle</t>
  </si>
  <si>
    <t>Apoyo a la Política Nacional de  Fortalecimiento a Las Familias y  Superación de la Pobreza</t>
  </si>
  <si>
    <t>Acompañamiento del Programa Nacional Familias en
Acción</t>
  </si>
  <si>
    <t>Porcentajes de Familias con liquidación.</t>
  </si>
  <si>
    <t>Diagnóstico y Diseño De La Política Pública Para Apoyo Y
Fortalecimiento De Las Familias</t>
  </si>
  <si>
    <t>Porcentaje de diagnóstico, diseño y formulación, de laPolítica pública para apoyo de fortalecimiento de las familias en el Distrito de Barranquilla</t>
  </si>
  <si>
    <t>Atención a grupos vulnerables</t>
  </si>
  <si>
    <t>Porcentaje de atención de las familias vulnerables que solicitaron el auxilio funerario</t>
  </si>
  <si>
    <t>Apoyo al Programa Red Unidos</t>
  </si>
  <si>
    <t>Familias con acompañamiento para superación de la pobreza y condición de vulnerabilidad</t>
  </si>
  <si>
    <t xml:space="preserve">Ciudad que Cuida la Vida de las Mujeres y población LGBTI </t>
  </si>
  <si>
    <t>Número de casos reportados de violencia
contra la mujer</t>
  </si>
  <si>
    <t>Atención y orientación a mujeres y población LGBTI</t>
  </si>
  <si>
    <t>Porcentaje de mujeres y personas de la población LGBTI atendidas, asesoradas
y orientadas.</t>
  </si>
  <si>
    <t>Oficina de la Mujer</t>
  </si>
  <si>
    <t>5. Igualdad de género</t>
  </si>
  <si>
    <t>Número de unidades móviles
en funcionamiento.</t>
  </si>
  <si>
    <t>Número de casas de la
mujer en funcionamiento</t>
  </si>
  <si>
    <t>Estrategia de promoción de los derechos y prevención de violencia contra mujeres y niñas</t>
  </si>
  <si>
    <t>Número de personas sensibilizadas en derechos de las mujeres, equidad de
género y prevención de violencia.</t>
  </si>
  <si>
    <t>Número de hombres sensibilizados frente a las nuevas masculinidades y la prevención de violencia de género</t>
  </si>
  <si>
    <t>Número de jóvenes y adolescentes participando de una estrategia de prevención de violencia</t>
  </si>
  <si>
    <t>Número de mujeres formadas en el uso responsable y constructivo de las TIC y sensibilizadas en prevención de las violencias en los entornos digitales producidos por el uso inadecuado de las
TICS.</t>
  </si>
  <si>
    <t>Población sensibilizada frente la inclusión social y el respeto de los derechos de la
población LGBTI</t>
  </si>
  <si>
    <t>Ciudad con Mirada Equitativa</t>
  </si>
  <si>
    <t>Tasa de ocupación de las mujeres en Barranquilla</t>
  </si>
  <si>
    <t>Estrategia de fortalecimiento productivo y competitivo a mujeres y géneros y promoción de la inclusión de mujeres y
población LGBTI al trabajo formal</t>
  </si>
  <si>
    <t>Número de espacios o acciones de ciudad para promoción de la inclusión de mujeres al trabajo formal y sensibilizar a actores del mercado laboral</t>
  </si>
  <si>
    <t>Número de Mujeres y personas de la población LGBTI cualificadas y fortalecidas en temas productivos y competitivos</t>
  </si>
  <si>
    <t>1.600.000.00</t>
  </si>
  <si>
    <t>Estrategia para el fomento a la participación social y política de las mujeres para la construcción de ciudadanía y sociedad</t>
  </si>
  <si>
    <t>Número de mujeres participando en acciones que promuevan el liderazgo y la participación social y política para la construcción de ciudadanía y sociedad.</t>
  </si>
  <si>
    <t xml:space="preserve">Diagnóstico situacional de la población LGBTIQ en Barranquilla </t>
  </si>
  <si>
    <t>Porcentaje de avance del diagnóstico de la población LGBTI de Barranquilla</t>
  </si>
  <si>
    <t>Actualización del diagnóstico y la Política Pública de
mujeres y géneros en el Distrito</t>
  </si>
  <si>
    <t>Porcentaje de avance de la actualización del diagnóstico para la construcción de la política pública para la mujer y equidad de género</t>
  </si>
  <si>
    <t>Porcentaje de avance en la actualización de la política pública para la mujer y equidad de género</t>
  </si>
  <si>
    <t xml:space="preserve"> Poblaciones con discapacidad</t>
  </si>
  <si>
    <t>Incidencia de pobreza</t>
  </si>
  <si>
    <t xml:space="preserve">Rehabilitación y entregas de ayudas técnicas a población en situación de discapacidad </t>
  </si>
  <si>
    <t>Número de ayudas técnicas</t>
  </si>
  <si>
    <t xml:space="preserve">Implementar el Consejo Distrital de Discapacidad </t>
  </si>
  <si>
    <t>Comité Distrital de Discapacidad</t>
  </si>
  <si>
    <t xml:space="preserve">Call Center operado por personas en situación de discapacidad </t>
  </si>
  <si>
    <t xml:space="preserve">Porcentaje de avance en el funcionamiento un Call Center </t>
  </si>
  <si>
    <t xml:space="preserve">Secretaría de Desarrollo Económico </t>
  </si>
  <si>
    <t>Inclusión de Comunidades Indígenas</t>
  </si>
  <si>
    <r>
      <t>Educación para las Comunidades Indígenas</t>
    </r>
    <r>
      <rPr>
        <sz val="12"/>
        <color rgb="FF404040"/>
        <rFont val="Bookman Old Style"/>
        <family val="1"/>
      </rPr>
      <t xml:space="preserve"> </t>
    </r>
  </si>
  <si>
    <t xml:space="preserve">Número de indígenas beneficiados con los programas de educación técnica, tecnológica y superior </t>
  </si>
  <si>
    <t>Secretaría de Gobierno</t>
  </si>
  <si>
    <t xml:space="preserve">Recuperación cultura y costumbres Indígenas </t>
  </si>
  <si>
    <t>Número de eventos pedagógicos culturales realizados</t>
  </si>
  <si>
    <t xml:space="preserve">Espacios de interlocución </t>
  </si>
  <si>
    <t>No. de espacios de interlocución creados</t>
  </si>
  <si>
    <t>Inclusión negras, afrocolombianas, raizales y palenqueras</t>
  </si>
  <si>
    <t>Legado de comunidades negras, afrocolombianas, raizales y palenqueras</t>
  </si>
  <si>
    <t>Número de campañas realizadas</t>
  </si>
  <si>
    <t>Acciones de fortalecimiento organizativo para las comunidades NARP (Espacios de consulta, interlocución, concertación) realizadas en el cuatrienio.</t>
  </si>
  <si>
    <t>Avanzar en la implementación de la política pública de comunidades negras, afrocolombianas, raizales y palenqueras</t>
  </si>
  <si>
    <t>Líneas de la política pública implementada</t>
  </si>
  <si>
    <t>Diagnóstico participativo actualizado</t>
  </si>
  <si>
    <t>Recuperación de la cultura y costumbres ancestrales  de las comunidades negras, afrocolombianas, raizales y palenqueras</t>
  </si>
  <si>
    <t>Número de procesos de recuperacion de cultura y costumbres ancestrales de la comunidad negras, afrocolombianas, raizales y palenqueras y su integración con las costumbres y cultura por medio de los procesos de industrias culturales como ferias, festividades artesanias ancestrales,
entre otras.</t>
  </si>
  <si>
    <t>Atención a Migrantes</t>
  </si>
  <si>
    <t xml:space="preserve">Centro de atención a migrantes </t>
  </si>
  <si>
    <t xml:space="preserve">Número de CAM en operación </t>
  </si>
  <si>
    <t xml:space="preserve">Atención integral a migrantes </t>
  </si>
  <si>
    <t>Porcentaje de personas migrantes,
retornada, refugiada y comunidad de acogida que lo requiera</t>
  </si>
  <si>
    <t xml:space="preserve">Espacios de formación para migrantes </t>
  </si>
  <si>
    <t>Número de espacios realizados de formación</t>
  </si>
  <si>
    <t xml:space="preserve">Jornadas de formación institucional para atención a población migrantes </t>
  </si>
  <si>
    <t>Número de jornadas de fortalecimiento institucional realizadas</t>
  </si>
  <si>
    <t>A.18. Justicia y Seguridad</t>
  </si>
  <si>
    <t>CIUDAD SEGURA Y DE PROMOCIÓN DE LOS DERECHOS HUMANOS</t>
  </si>
  <si>
    <t>Fortalecimiento de la Infraestructura Interinstitucional Especializada en Seguridad y Convivencia Ciudadana</t>
  </si>
  <si>
    <t xml:space="preserve">Tasa de homicidios por cada 100000 habitantes
Tasa de hurto a personas por cada 100000 habitantes
Número de hurto a residencias 
Número de hurto a motocicletas 
Número de hurto a vehículos </t>
  </si>
  <si>
    <t>22
867,9
789
777
214</t>
  </si>
  <si>
    <t>17
715,3
631
622
171</t>
  </si>
  <si>
    <t xml:space="preserve">Tecnología para la Seguridad Ciudadana </t>
  </si>
  <si>
    <t>Número de cámaras de video para la vigilancia</t>
  </si>
  <si>
    <t>Oficina para la Seguridad y Convivencia Ciudadana</t>
  </si>
  <si>
    <t>16. Paz, justicia e instituciones sólidas</t>
  </si>
  <si>
    <t>Número de dispositivos y accesorios de comunicación entregados</t>
  </si>
  <si>
    <t>Porcentaje de avance del desarrollo y puesta en marcha de la aplicación móvil</t>
  </si>
  <si>
    <t>Número de Centro Automático Despacho en operación</t>
  </si>
  <si>
    <t>Equipamiento urbano y automotor de los servicios de seguridad integrados</t>
  </si>
  <si>
    <t>Número de equipamientos urbanos construidos</t>
  </si>
  <si>
    <t>Número de equipamientos remodelados</t>
  </si>
  <si>
    <t>Porcentaje de equipamiento urbanos en operación</t>
  </si>
  <si>
    <t>Porcentaje de avance de la construcción del HANGAR</t>
  </si>
  <si>
    <t>Número de vehículos nuevos entregados a la fuerza pública</t>
  </si>
  <si>
    <t>Porcentaje de vehículos con mantenimiento y suministro de combustible</t>
  </si>
  <si>
    <t>Seguridad, convivencia ciudadana a la calle con la comunidad</t>
  </si>
  <si>
    <t>Tasa de violencia interpersonal por cada 100.000 habitantes</t>
  </si>
  <si>
    <t>Práctica social y comunitaria en el espacio público seguro</t>
  </si>
  <si>
    <t>Porcentaje de avance de implementación de la estrategia basadas en CPTED</t>
  </si>
  <si>
    <t xml:space="preserve">Participación ciudadana para la prevención </t>
  </si>
  <si>
    <t>Número de estrategias adicionales dirigidas a fortalecer cohesión social para la acción comunitaria en prevención</t>
  </si>
  <si>
    <t>Número de proyectos presentados
con enfoque etnico ante Ministerio del Interior para la financiación iniciativa Sacudete Crea para la comunidad Narp</t>
  </si>
  <si>
    <t>Niños, Niñas, Adolescentes y jóvenes (N, N, A y J) participando en la construcción de convivencia</t>
  </si>
  <si>
    <t>Número de estrategias nuevas para la atención a la conflictividad en población adolescente y joven</t>
  </si>
  <si>
    <t>Número de estrategias diferenciales para para el cumplimiento de las finalidades pedagógicas y restaurativas del Sistema de Responsabilidad Penal
Adolescente (SRPA)</t>
  </si>
  <si>
    <t>Porcentaje de avance en la puesta en marcha del equipamiento urbano para la atención de SRPA</t>
  </si>
  <si>
    <t>Servicios especializados e integrados para convivencia</t>
  </si>
  <si>
    <t xml:space="preserve">Número de UCJ en funcionamiento </t>
  </si>
  <si>
    <t>Comunicación estratégica e información para la planeación y la gestión institucional de la Seguridad y Convivencia Ciudadana</t>
  </si>
  <si>
    <t>Observatorio en seguridad y convivencia ciudadana</t>
  </si>
  <si>
    <t xml:space="preserve">Número de boletines del comportamiento de los homicidios y otros delitos del Distrito de Barranquilla </t>
  </si>
  <si>
    <t xml:space="preserve">Número de infografías de temas y fechas especiales sobre el comportamiento de criminalidad y violencia en el Distrito de Barranquilla </t>
  </si>
  <si>
    <t xml:space="preserve">Número de boletines de temas y fechas especiales sobre el comportamiento de criminalidad y violencia en el Distrito de Barranquilla </t>
  </si>
  <si>
    <t xml:space="preserve">Número de acuerdos entre los órganos de control y justicia con los órganos de la administración Distrital para el acceso de datos estadísticos del registro institucional en criminalidad y violencia </t>
  </si>
  <si>
    <t xml:space="preserve">Número de Investigaciones para gestión pública en seguridad </t>
  </si>
  <si>
    <t>Articulación con órganos de la administración distrital y órganos de seguridad y justicia</t>
  </si>
  <si>
    <t>Número de espacios institucionalizados funcionando</t>
  </si>
  <si>
    <t>Comunicación estratégica para la percepción ciudadana de la seguridad y convivencia</t>
  </si>
  <si>
    <t>Porcentaje de avance en la formulación e implementación del Plan estratégico de comunicaciones para el impacto positivo en la percepción ciudadana de la gestión de la seguridad</t>
  </si>
  <si>
    <t>Dignidad Carcelaria</t>
  </si>
  <si>
    <t>Porcentaje de internos beneficiados con programas de resocialización por cada centro de reclusión y rehabilitación distritales, según el total de la población carcelaria.</t>
  </si>
  <si>
    <t>Atención Integral a la población de internos (as)</t>
  </si>
  <si>
    <t>Porcentaje de internos beneficiados con programas de resocialización</t>
  </si>
  <si>
    <t>A.11. Centros de Reclusión</t>
  </si>
  <si>
    <t>Mantenimiento correctivo de cárceles</t>
  </si>
  <si>
    <t>Número de centros de rehabilitación en condiciones adecuadas</t>
  </si>
  <si>
    <t>Apoyo en la reubicación de la carcel de Barranquilla</t>
  </si>
  <si>
    <t>Porcentaje de actividades para la reubicación con acompañamiento del Distrito de Barranquilla</t>
  </si>
  <si>
    <t>Mecanismos de Justicia y Conciliazación más Eficiente y Cercano al Ciudadano</t>
  </si>
  <si>
    <t>Casas de Justicia cercanas al ciudadano</t>
  </si>
  <si>
    <t>Nó de casas de justicia construidas y/o remodeladas nuevas</t>
  </si>
  <si>
    <t>Operación y fortalecimiento de las Casas de Justicia garantizando el acceso a trámites y servicios</t>
  </si>
  <si>
    <t>Número de estratégicas en operación en las Casas de Justicia del Distrito</t>
  </si>
  <si>
    <t>Mantenimiento de la infraestructura física de las Casas de Justicia</t>
  </si>
  <si>
    <t>Porcentaje de casas de justicia en operación</t>
  </si>
  <si>
    <t>Oficina de Inspecciones y Comisarías</t>
  </si>
  <si>
    <t>Construcción, dotación, adecuación o modernización tecnológica de las comisarías de familia, inspecciones de policía y corregidurías.</t>
  </si>
  <si>
    <t>Número de salas de audiencia creadas y dotadas</t>
  </si>
  <si>
    <t>Número de inspecciones de policía, corregidurías y comisarías de familia con elementos de logística.</t>
  </si>
  <si>
    <t>Número de comisarías de Familia creadas y dotadas</t>
  </si>
  <si>
    <t>Número de Plataformas tecnológicas implementadas</t>
  </si>
  <si>
    <t xml:space="preserve">Número de oficinas reubicadas y en funcionamiento </t>
  </si>
  <si>
    <t>Capacitación en materias afines al desempeño de las funciones y competencias a los funcionarios de inspecciones de policía y comisarías de familia</t>
  </si>
  <si>
    <t>Número de funcionarios capacitados anualmente</t>
  </si>
  <si>
    <t>Proyecto Creación y dotación de dos (2) unidades móviles para la prestación de los servicios de justicia cercana al ciudadano, a cargo de los inspectores de policía</t>
  </si>
  <si>
    <t>Número de 2 unidades móviles creadas y dotadas</t>
  </si>
  <si>
    <t>Dotación de cámaras de vigilancia de las inspecciones de policía, corregidurías y comisarías de familia</t>
  </si>
  <si>
    <t>Número cámaras instaladas en las
inspecciones de policía, corregidurías y comisarías de familia.</t>
  </si>
  <si>
    <t xml:space="preserve"> Intervención psicoeducativa para hombres y mujeres que han ejercido violencia en su relación de pareja</t>
  </si>
  <si>
    <t>Porcentaje de personas beneficiadas con apoyo psicosocial que así lo requieran</t>
  </si>
  <si>
    <t>Quilla Goles Por la Paz</t>
  </si>
  <si>
    <t>Caracterizar barras populares</t>
  </si>
  <si>
    <t>Número de barras caracterizadas</t>
  </si>
  <si>
    <t>Promoción y socialización de la ley del deporte</t>
  </si>
  <si>
    <t>Número socializaciones en la ley del deporte realizadas</t>
  </si>
  <si>
    <t>Número de personas sensibilizadas sobre los deberes y derechos establecidos en la Ley de Deporte</t>
  </si>
  <si>
    <t>Integración deportiva para la convivencia en las barras</t>
  </si>
  <si>
    <t>Número de programas lúdicos y culturales realizados</t>
  </si>
  <si>
    <t>Incentivos económicos para el emprendimiento de
barras de la ciudad</t>
  </si>
  <si>
    <t>Número de iniciativas de emprendimiento aprobadas</t>
  </si>
  <si>
    <t>Equipamiento para el control y la vigilancia en el marco
de grandes eventos deportivos del Estadio Metropolitano</t>
  </si>
  <si>
    <t>Número de cámaras de detección de rostros implementadas y en funcionamiento</t>
  </si>
  <si>
    <t>Número de lectores de huella instaladas y en funcionamiento</t>
  </si>
  <si>
    <t>Construcción de Paz, Atención a Víctimas y Reconciliación con Perspectiva de Derechos</t>
  </si>
  <si>
    <t>Porcentaje de victimización</t>
  </si>
  <si>
    <t>Atención y Dinamización De La Política Pública</t>
  </si>
  <si>
    <t>Número de Centro Regional y/o puntos de atención en funcionamiento</t>
  </si>
  <si>
    <t>Número de personas atendidas y orientadas en el centro regional y/o punto de atención</t>
  </si>
  <si>
    <t>Número de procesos para la implementación de la política pública de víctimas</t>
  </si>
  <si>
    <t>Número de comités, subcomités y mesas de trabajo dinamizadas</t>
  </si>
  <si>
    <t xml:space="preserve">Desarrollar 2 procesos para el fortalecimiento institucional
</t>
  </si>
  <si>
    <t>Asistencia y Atención Integral a las Víctimas del Conflicto</t>
  </si>
  <si>
    <t>Número de personas o familias por inmediatez remitidas por el Ministerio Público y que se encuentren en alto grado de vulnerabilidad</t>
  </si>
  <si>
    <t>Número de personas o familias por transición que se encuentran en alto grado de vulnerabilidad</t>
  </si>
  <si>
    <t>No. De personas o familias remitidas o que solicitaron el auxilio funerario y les fue
otorgado (de acuerdo con lo establecido en el art 50 de la ley 1448)</t>
  </si>
  <si>
    <t>No. De personas con acompañamiento
psicosocial, remitidas por inmediatez y/o transición</t>
  </si>
  <si>
    <t>No. Procesos pedagógicos implementados para la orientación, divulgación y
socialización de la Ley 1448 de 2011 a la población víctima</t>
  </si>
  <si>
    <t>Reparación Integral</t>
  </si>
  <si>
    <t>Número de procesos de desarrollo y gestión comunitaria en las comunidades priorizadas</t>
  </si>
  <si>
    <t>No. De ofertas institucionales articuladas para los procesos de retorno y reubicación en las comunidades priorizadas</t>
  </si>
  <si>
    <t>Bienestar y Acompañamiento Psicosocial</t>
  </si>
  <si>
    <t>Número de líderes y multiplicadores fortalecidos en acciones psicosociales</t>
  </si>
  <si>
    <t>Número de ofertas institucionales articuladas</t>
  </si>
  <si>
    <t>Número de grupos poblacionales priorizados</t>
  </si>
  <si>
    <t>Porcentaje de casos atendido para la gestión humanitaria y acompañamiento a
personas en situación de amenaza a su integridad</t>
  </si>
  <si>
    <t>Participación Efectiva De Niños, Niñas, Adolescentes y Jóvenes (NNAJ)</t>
  </si>
  <si>
    <t>No de NNAJ sensibilizadas y fortalecidos en pro de los derechos y deberes de las víctimas del Distrito</t>
  </si>
  <si>
    <t>Número de organizaciones juveniles de Derechos Humanos conformadas y fortalecidas</t>
  </si>
  <si>
    <t>Número de foros o conversatorios que permitan promover la participación y el liderazgo</t>
  </si>
  <si>
    <t>Prevención de reclutamiento forzado</t>
  </si>
  <si>
    <t>No. De víctimas que participan en espacios de divulgación y defensa de los DDHH y DIH.</t>
  </si>
  <si>
    <t>Porcentaje de Personas que se benefician del programa de protección y seguridad,
garantizando el derecho a la vida, la libertad e integridad con relación al
total de las personas que solicitan este apoyo</t>
  </si>
  <si>
    <t>Estrategia implementada para la prevención del reclutamiento forzado, uso y utilización de NNAJ: "Záfate
del uso"</t>
  </si>
  <si>
    <t>No. de Planes Integrales de Prevención y protección y planes de contingencia, a
las violaciones de los derechos humanos e
infracciones al derecho internacional humanitario, construidos, actualizados e
implementados</t>
  </si>
  <si>
    <t>No. de Instituciones Educativas Distritales
vinculadas a la estrategia para la de la prevención del reclutamiento forzado y
utilización de NNAJ.</t>
  </si>
  <si>
    <t>No. De instituciones articuladas en la estrategia de prevención del reclutamiento forzado, uso y utilización de NNAJ.</t>
  </si>
  <si>
    <t>No. De NNAJ que participan de la estrategia de prevención del reclutamiento forzado y utilización de NNAJ.</t>
  </si>
  <si>
    <t>Número de Comisiones intersectoriales conformadas y dinamizadas a nivel
territorial para la Prevención
del Reclutamiento, Utilización y Violencia Sexual contra Niños, Niñas y
Adolescentes por parte de grupos armados al margen
de la ley y por grupos
delictivos organizados
(CIPRUNNA)</t>
  </si>
  <si>
    <t>Construcción de territorio de paz</t>
  </si>
  <si>
    <t>No. De acciones públicas
que promuevan contextos
para la convivencia pacífica que faciliten la
reconstrucción del capital
social para la reconciliación
y la paz.</t>
  </si>
  <si>
    <t>Construcción y rescate de memoria histórica para la no repetición</t>
  </si>
  <si>
    <t>% de sentencias de la Corte
Constitucional y/o sentencias de Restitución de Tierras en materia de
reparación de víctimas del conflicto armado a las que se les hace seguimiento</t>
  </si>
  <si>
    <t>No. de estrategia implementada</t>
  </si>
  <si>
    <t>No. De estrategias de memoria histórica
implementadas desde la casa y la plazoleta de la memoria ubicada en el Parque Universal.</t>
  </si>
  <si>
    <t>No. De Instituciones educativas que participan en acciones pedagógicas y
culturales para la difusión sobre los procesos de construcción de memoria
histórica en el Distrito de Barranquilla.</t>
  </si>
  <si>
    <t xml:space="preserve">No. De personas que participan en los espacios para la recuperación y fortalecimiento de saberes ancestrales.
</t>
  </si>
  <si>
    <t>Garantía para la participación efectiva de las víctimas del conflicto</t>
  </si>
  <si>
    <t>No. de sesiones realizadas en la Mesa Distrital de Víctimas</t>
  </si>
  <si>
    <t>No. de elementos y equipos entregados anualmente a la Mesa Distrital de Víctimas.</t>
  </si>
  <si>
    <t>No. mejoras anuales realizadas a las instalaciones de la a la Mesa Distrital de
Víctimas.</t>
  </si>
  <si>
    <t>Número de procesos de elecciones de los representantes de la Mesa
Distrital de Víctimas</t>
  </si>
  <si>
    <t>Promoción, socialización y Fomento de la Ley 1448 de
2011 a la población victima asentada en el distrito de Barranquilla</t>
  </si>
  <si>
    <t>No. de personas beneficiadas y
empoderadas con plenitud en el manejo de herramientas conceptuales
en el conocimiento, protección y defensa de sus derechos y deberes</t>
  </si>
  <si>
    <t>No. De organizaciones victimas fortalecidas con la socialización de la ley 1448 de 2011.</t>
  </si>
  <si>
    <t>No. De campañas de comunicación y de medios para la promoción y socialización de la ley 1448 de 2011</t>
  </si>
  <si>
    <t>Reintegración, Reincorporación y Normalización</t>
  </si>
  <si>
    <t>Oferta Institucional para una Reintegración sostenible</t>
  </si>
  <si>
    <t>Número de personas en proceso de reintegración y reincorporación que conocen y participan de la oferta institucional del Distrito</t>
  </si>
  <si>
    <t>Alta Consejería para el Postconflicto</t>
  </si>
  <si>
    <t>Implementación de iniciativas de reintegración comunitaria o de reconciliación</t>
  </si>
  <si>
    <t>Iniciativa comunitaria de convivencia y
reconciliación adelantadas de ARN apoyada</t>
  </si>
  <si>
    <t>Número de eventos de conmemoración de las víctimas realizados</t>
  </si>
  <si>
    <t>Equipo para la Seguridad</t>
  </si>
  <si>
    <t>Tiempo de respuesta a emergencias (minutos)</t>
  </si>
  <si>
    <t>Territorialización del servicio del cuerpo de bomberos oficial del distrito de Barranquilla</t>
  </si>
  <si>
    <t>Número de estaciones de bomberos construidas y dotadas</t>
  </si>
  <si>
    <t>A.12. Prevención y Atención de Desastres</t>
  </si>
  <si>
    <t>Número de estaciones de bomberos reubicadas</t>
  </si>
  <si>
    <t>Operación, dotación y mejoramiento del Cuerpo De Bomberos Oficial Del Distrito</t>
  </si>
  <si>
    <t>Porcentaje del cuerpo de bomberos dotados</t>
  </si>
  <si>
    <t>Número de vehículos para la oportuna movilización</t>
  </si>
  <si>
    <t>Mantenimiento de la capacidad operativa del cuerpo de bomberos</t>
  </si>
  <si>
    <t>Porcentaje de vehículos, motocicletas y de estaciones diagnosticadas e intervenidos anualmente</t>
  </si>
  <si>
    <t>Mantenimiento preventivo y correctivo de las estaciones de bomberos</t>
  </si>
  <si>
    <t>Porcentaje de estaciones intervenidas anualmente</t>
  </si>
  <si>
    <t>Barranquilla Entorno Protector de los Derechos Humanos</t>
  </si>
  <si>
    <t>Apoyar al Comité de Derechos Humanos del Distrito</t>
  </si>
  <si>
    <t>Numero de comités de DDHH</t>
  </si>
  <si>
    <t>Fortalecimiento institucional para la gestión en derechos humanos y la paz en el Distrito de Barranquilla</t>
  </si>
  <si>
    <t>Número de iniciativas para fortalecer la gestión en derechos humanos aprobadas</t>
  </si>
  <si>
    <t>Operación de la casa de la paz y los derechos humanos</t>
  </si>
  <si>
    <t>Número de personas sensibilizadas en los valores de la paz y el respeto de los derechos humanos</t>
  </si>
  <si>
    <t>Diseño e implementación de estrategias de cultura, educación, en derechos humanos y paz</t>
  </si>
  <si>
    <t>Número de estrategias realizadas para promover los valores</t>
  </si>
  <si>
    <t>Promover la formación, la educación y la investigación en temas relacionados con Derechos Humanos y la paz en el Distrito</t>
  </si>
  <si>
    <t>Número de personas sensibilizadas en valores y actitudes</t>
  </si>
  <si>
    <t>Diseñar e implementar acciones de prevención de la explotación sexual comercial de niños, niñas y adolescentes</t>
  </si>
  <si>
    <t>Número de acciones implementadas anuales para la prevención de la trata de personas</t>
  </si>
  <si>
    <t>ATRACTIVA Y PROSPERA</t>
  </si>
  <si>
    <t>EMPRENDEDORA Y TRABAJADORA</t>
  </si>
  <si>
    <t>Negocios Prósperos</t>
  </si>
  <si>
    <t>Tasa de informalidad laboral</t>
  </si>
  <si>
    <t xml:space="preserve">Apoyo al Empresario </t>
  </si>
  <si>
    <t>No. de negocios asesorados para aumentar su productividad</t>
  </si>
  <si>
    <t>8. Trabajo decente y crecimiento económico</t>
  </si>
  <si>
    <t>A.13. Promoción del Desarrollo</t>
  </si>
  <si>
    <t>No. Personas capacitadas en competencias empresariales</t>
  </si>
  <si>
    <t>No. Personas o empresas diagnosticados en competencias empresariales</t>
  </si>
  <si>
    <t>No. De proyectos de liderazgo y economía asociativos aprobados</t>
  </si>
  <si>
    <t>No. De proyectos de liderazgo y económia asociativos aprobados a comunidades NARP</t>
  </si>
  <si>
    <t xml:space="preserve">Apalancamiento financiero </t>
  </si>
  <si>
    <t>Número de mecanismos de financiamiento implementados</t>
  </si>
  <si>
    <t>Apoyo para la generación y fortalecimiento unidades productivas</t>
  </si>
  <si>
    <t>Porcentaje de avance del censo de vendedores informales, ambulantes y/o estacionarios</t>
  </si>
  <si>
    <t>Número de unidades productivas conformadas/fortalecidas o intervenidas</t>
  </si>
  <si>
    <t>Número de unidades productivas de las comunidades NARP inscritas y apoyadas en programas de conformación /fortalecimiento de negocios.</t>
  </si>
  <si>
    <t xml:space="preserve"> Empleo de calidad </t>
  </si>
  <si>
    <t>Tasa de desempleo
Tasa de ocupados</t>
  </si>
  <si>
    <t>7,8%
59,5%</t>
  </si>
  <si>
    <t>7,8%
62,2%</t>
  </si>
  <si>
    <t xml:space="preserve">Estrategia para el aumento de la empleabilidad </t>
  </si>
  <si>
    <t>No. de hojas de vida remitidas a empresas</t>
  </si>
  <si>
    <t>No. de empresas visitadas</t>
  </si>
  <si>
    <t>No de personas registradas en el sistema de información del servicio público de empleo</t>
  </si>
  <si>
    <t>No. de personas orientadas para la búsqueda efectiva de empleo</t>
  </si>
  <si>
    <t>No. de personas certificadas en competencias para el trabajo</t>
  </si>
  <si>
    <t xml:space="preserve">Formación de Inglés para el trabajo </t>
  </si>
  <si>
    <t>Número de personas formadas</t>
  </si>
  <si>
    <t xml:space="preserve"> CIUDAD GLOBAL</t>
  </si>
  <si>
    <t>Conexión a nuevos mercados</t>
  </si>
  <si>
    <t>Monto en dolares de inversión de empresas instaladas y ampliadas</t>
  </si>
  <si>
    <t xml:space="preserve">Fábricas de internacionalización  </t>
  </si>
  <si>
    <t>No. de empresas en proceso de internacionalización</t>
  </si>
  <si>
    <t xml:space="preserve">Integración del río con las comunidades ribereñas (Proyecto Integra) </t>
  </si>
  <si>
    <t>Porcentaje de avance de la formulación y gestión de proyecto con la entidad competente</t>
  </si>
  <si>
    <t xml:space="preserve">Plan Maestro Portuario  </t>
  </si>
  <si>
    <t>Porcentaje de avance de la formulación del Plan Maestro Portuario</t>
  </si>
  <si>
    <t>Gestión de Barranquilla como ciudad energética</t>
  </si>
  <si>
    <t>Porcentaje de avance de la estrategia Barranquilla Ciudad Energética.</t>
  </si>
  <si>
    <t xml:space="preserve"> Promoción de ciudad </t>
  </si>
  <si>
    <t>Monto en dolares de recursos atraídos por internacional</t>
  </si>
  <si>
    <t xml:space="preserve">Atracción de inversión nacional y extranjera  </t>
  </si>
  <si>
    <t>No. de oportunidades de inversión apoyadas en Barranquilla</t>
  </si>
  <si>
    <t>Gestión para la demanda y la oferta de la cooperación internacional</t>
  </si>
  <si>
    <t>Diseño de la estructura organizacional del programa de Relaciones Internacionales</t>
  </si>
  <si>
    <t>Implementación de la estructura organizacional del programa de Relaciones Internacionales</t>
  </si>
  <si>
    <t>Posicionamiento de ciudad</t>
  </si>
  <si>
    <t>Casa Barranquilla implementada</t>
  </si>
  <si>
    <t>Porcentaje de avance en el diseño y ejecución de la estrategia de promoción de la marca de la ciudad.</t>
  </si>
  <si>
    <t>Secretaría de Comunicaciones</t>
  </si>
  <si>
    <t xml:space="preserve">Fomento y promoción al turismo
</t>
  </si>
  <si>
    <t>Visitantes extranjeros no residentes hospedados en Barranquilla</t>
  </si>
  <si>
    <t xml:space="preserve">Fortalecimiento de la gestión y desarrollo de la infraestructura turística  del destino </t>
  </si>
  <si>
    <t>Servicio de asistencia técnica al destino</t>
  </si>
  <si>
    <t>Secretaría de Cultura Patrimonio y Turismo</t>
  </si>
  <si>
    <t>Campañas de divulgación, promoción y posicionamiento realizadas</t>
  </si>
  <si>
    <t>Porcentaje de avance de la Gestión realizada</t>
  </si>
  <si>
    <t>Circuito turístico en funcionamiento</t>
  </si>
  <si>
    <t>Secretaría de Desarrollo Económico - Oficina de Turismo</t>
  </si>
  <si>
    <t xml:space="preserve">Consolidación de la oferta turística de la ciudad y la región </t>
  </si>
  <si>
    <t>Número de Productos para la gestión turística formulados y validados</t>
  </si>
  <si>
    <t>APP creada y en funcionamiento</t>
  </si>
  <si>
    <t xml:space="preserve">Fortalecimiento de la cadena de valor de la industria de turismo y eventos de negocios (TEN) </t>
  </si>
  <si>
    <t>Número de estrategias de fortalecimiento de la cadena de valor de TEN</t>
  </si>
  <si>
    <t>Atracción de turismo y eventos de negocios</t>
  </si>
  <si>
    <t>No. de eventos apoyados atraídos</t>
  </si>
  <si>
    <t xml:space="preserve">Asamblea del Banco Interamericano de Desarrollo (BID) </t>
  </si>
  <si>
    <t>Porcentaje de avance para el desarrollo del evento de la Asamblea del BID</t>
  </si>
  <si>
    <t>COMPETITIVA E INNOVADORA</t>
  </si>
  <si>
    <t>Ecosistemas para la productividad y la  innovación</t>
  </si>
  <si>
    <t>Posición en la medición
nacional Doing Business</t>
  </si>
  <si>
    <t>XXXXX</t>
  </si>
  <si>
    <t xml:space="preserve">Fomento a la ciencia, la tecnología y la innovación </t>
  </si>
  <si>
    <t>No. estrategias de promoción de ciencia, tecnología, e innovación implementadas</t>
  </si>
  <si>
    <t>No. de iniciativas de base tecnológica apoyadas</t>
  </si>
  <si>
    <t>No. de Centros de Innovación operados</t>
  </si>
  <si>
    <t>Laboratorio de pruebas de exportación diseñado</t>
  </si>
  <si>
    <t>Secretaría de Desarrollo Económico 
Secretaría de Planeación</t>
  </si>
  <si>
    <t xml:space="preserve">Apoyo para el fortalecimiento de la pequeña y mediana empresa </t>
  </si>
  <si>
    <t>No. de empresas apoyadas con potencial de crecimiento</t>
  </si>
  <si>
    <t xml:space="preserve">Estudios economicos territoriales para la productividad </t>
  </si>
  <si>
    <t>Porcentaje de avance del mapeo del universo de trámites que impactan en las empresas.</t>
  </si>
  <si>
    <t>Porcentaje avance de la implementación del sistema de información</t>
  </si>
  <si>
    <t>Número de estudios económicos realizados</t>
  </si>
  <si>
    <t>Barranquilla 2100</t>
  </si>
  <si>
    <t>Puntuación Subpilar
innovación y dinámica
empresarial (ICC)</t>
  </si>
  <si>
    <t xml:space="preserve">Elaboración del Plan Maestro Barranquilla 2100 </t>
  </si>
  <si>
    <t>Porcentaje de avance de la elaboración del Plan</t>
  </si>
  <si>
    <t xml:space="preserve">Política Distrital de Desarrollo Económico </t>
  </si>
  <si>
    <t xml:space="preserve">Porcentaje de avance en la formulación y adopción de la Política de Distrital de Desarrollo Económico </t>
  </si>
  <si>
    <t>POLITICA CIUDAD CULTURAL Y VIBRANTE</t>
  </si>
  <si>
    <t>Fortalecimiento de la institucionalidad cultural y ciudadana</t>
  </si>
  <si>
    <t>Índice de participación de los agentes del  Sistema Distrital de Cultura en los procesos de formulación y ejecución de las políticas
culturales.</t>
  </si>
  <si>
    <t>Formulación e implementación del Plan Estratégico Cultural</t>
  </si>
  <si>
    <t>Porcentaje de avance de la formulación del Plan Estratégico Cultural</t>
  </si>
  <si>
    <t>A.5. Cultura</t>
  </si>
  <si>
    <t>Porcentaje de avance de la implementación de la fase 1 del Plan Estratégico Cultura</t>
  </si>
  <si>
    <t>Fortalecimiento del Sistema Distrital de Cultura y Patrimonio</t>
  </si>
  <si>
    <t>Número de instancias de participación articuladas que validan procesos y productos culturales</t>
  </si>
  <si>
    <t>Porcentaje de instancias de participación que aplican el enfoque diferencial y acción sin daños en la elección de participantes del Sistema Distrital de Cultura</t>
  </si>
  <si>
    <t>Optimización del Sistema Integrado de Información para la gestión cultural (SIIGC)</t>
  </si>
  <si>
    <t>Módulos de recolección y análisis de información del SIIGC desarrollados y en operación</t>
  </si>
  <si>
    <t>Porcentaje de avance de la puesta en marcha del Observatorio de la gestión cultural</t>
  </si>
  <si>
    <t>Cultura Democrática y Ciudadana</t>
  </si>
  <si>
    <t>Promedio de libros leídos por persona en la población beneficiaria del servicio público de bibliotecas.</t>
  </si>
  <si>
    <t>Implementación del Sistema de Formación Artística y Cultural</t>
  </si>
  <si>
    <t>Número de personas beneficiadas con el servicio de formación artística, creación cultural y fortalecimiento de las industrias culturales</t>
  </si>
  <si>
    <t>Número de sistemas implementados de evaluación de la gestión y la calidad del servicio del sistema de formación artística y cultural</t>
  </si>
  <si>
    <t>Número de creadores y gestores culturales locales incluidos en procesos de formalización educativa con enfoque diferencial y acción sin daño.</t>
  </si>
  <si>
    <t>Fortalecimiento del Servicio Público de Bibliotecas y el compromiso ciudadano con la lectura, escritura y oralidad</t>
  </si>
  <si>
    <t>Número de personas beneficiadas con el servicio público de bibliotecas.</t>
  </si>
  <si>
    <t>Porcentaje de avance de la formulación del Plan Ciudadano de Lectura, Escritura y Oralidad</t>
  </si>
  <si>
    <t>Número de jornadas ciudadanas de compromiso con la lectura, la escritura y la oralidad realizadas en la ciudad.</t>
  </si>
  <si>
    <t>Fomento y apoyo al acceso de bienes y servicios culturales</t>
  </si>
  <si>
    <t>Porcentaje de personas que se benefician de la oferta artística y cultural del Distrito.</t>
  </si>
  <si>
    <t>Consolidación del Sistema Distrital de Estímulos y el Sistema Distrital de Concertación para proyectos artísticos y culturales</t>
  </si>
  <si>
    <t>Número de proyectos artísticos y culturales beneficiado a través del Sistema Distrital de Estímulos.</t>
  </si>
  <si>
    <t>Número de personas beneficiadas con la asistencia a eventos culturales y de carácter festivo y lúdico.</t>
  </si>
  <si>
    <t xml:space="preserve"> Fortalecimiento de iniciativas comunitarias para el arte y la cultura ciudadana</t>
  </si>
  <si>
    <t>Número de iniciativas comunitarias dirigidas a la primera infancia, niños y niñas, jóvenes y adultos mayores para el arte y la cultura ciudadana apoyada.</t>
  </si>
  <si>
    <t xml:space="preserve">Servicio de Seguridad Social para Creadores y Gestores Culturales. </t>
  </si>
  <si>
    <t>Número de creadores y gestores beneficiados con BEPS</t>
  </si>
  <si>
    <t>Infraestructura cultural de la ciudad</t>
  </si>
  <si>
    <t>Formulación e implementación del Plan Maestro de infraestructura cultural</t>
  </si>
  <si>
    <t>Porcentaje de avance de la formulación del Plan maestro de Infraestructura Cultural</t>
  </si>
  <si>
    <t>Porcentaje de avance de la implementación de la fase 1 del Plan maestro de Infraestructura Cultural</t>
  </si>
  <si>
    <t>Secretaría de Cultura Patrimonio y Turismo 
Secretaría de Educación</t>
  </si>
  <si>
    <t>Adquisición, adecuación y/o dotación de la infraestructura cultural</t>
  </si>
  <si>
    <t>Número de inmuebles para la actividad cultural incrementados</t>
  </si>
  <si>
    <t>Porcentaje de los escenarios culturales en condiciones adecuadas</t>
  </si>
  <si>
    <t>Industrias culturales y creativas y de economía naranja</t>
  </si>
  <si>
    <t>Implementación del modelo de gestión de innovación Fábrica de Cultura</t>
  </si>
  <si>
    <t>Porcentaje de implementación del modelo de innovación para la gestión cultural</t>
  </si>
  <si>
    <t>Apoyo a Barranquilla Creativa</t>
  </si>
  <si>
    <t>Estrategias de sostenibilidad del Área de Desarrollo Naranja -ADN y barrios creativos de la ciudad</t>
  </si>
  <si>
    <t>Número de emprendimientos de industrias culturales y creativas y de economía naranja fortalecidas.</t>
  </si>
  <si>
    <t>Número de eventos realizados para el fomento al ecosistema de emprendimiento cultural de la ciudad.</t>
  </si>
  <si>
    <t>POLITICA PROTECCIÓN, SALVAGUARDIA Y SOSTENIBILIDAD DEL PATRIMONIO CULTURA</t>
  </si>
  <si>
    <t>Conocimiento, Valoración, formación y divulgación del patrimonio cultural</t>
  </si>
  <si>
    <t>Bienes de Interés Cultural BIC inscritos en el ámbito Distrital.</t>
  </si>
  <si>
    <t>Elaboración de Inventarios y registro del Patrimonio Cultural Distrital</t>
  </si>
  <si>
    <t>Porcentaje de avance de los inventarios de patrimonio cultural material distrital</t>
  </si>
  <si>
    <t>Porcentaje de avance de los inventarios de patrimonio cultural inmaterial distrital</t>
  </si>
  <si>
    <t>Porcentaje de avance del inventario de la infraestructura cultural de la ciudad</t>
  </si>
  <si>
    <t>Fortalecimiento de las declaratorias de Patrimonio Cultural Material e Inmaterial</t>
  </si>
  <si>
    <t>Número de Bienes de Interés Cultural BIC declarados del ámbito distrital.</t>
  </si>
  <si>
    <t>Planes Especiales de Manejo y Protección gestionados y adoptados ante el Ministerio de Cultura</t>
  </si>
  <si>
    <t>Número de Manifestaciones declaradas del ámbito distrital.</t>
  </si>
  <si>
    <t>Planes Especiales de Manejo y
Protección PEMP gestionados y
adoptados ante MINCULTURA</t>
  </si>
  <si>
    <t xml:space="preserve">Formación y Divulgación del Patrimonio Cultural del Distrito  </t>
  </si>
  <si>
    <t>Número de redes de vigías distritales registradas ante Ministerio de cultura.</t>
  </si>
  <si>
    <t>Número de Planes divulgativos realizados</t>
  </si>
  <si>
    <t>Número de recorridos patrimoniales de los bienes y/o manifestaciones formalizadas.</t>
  </si>
  <si>
    <t>Programa Conservación, salvaguardia, protección, recuperación y sostenibilidad del Patrimonio</t>
  </si>
  <si>
    <t>Formulación y actualización de Planes Especiales de Manejo y Protección PEMP y Planes Especiales de Salvaguardia del Patrimonio Cultural PES</t>
  </si>
  <si>
    <t>Porcentaje de actualización del Plan Especial de Manejo y Protección PEMP Centro</t>
  </si>
  <si>
    <t>Porcentaje de avance en la formulación del Plan Especial de Manejo y Protección PEMP El Prado, Bellavista y una parte de Altos del Prado</t>
  </si>
  <si>
    <t>Porcentaje de revisión del Plan Especiales de Salvaguardia Carnaval de Barranquilla</t>
  </si>
  <si>
    <t>Número de nuevos Planes Especiales de Salvaguardia -PES aprobados</t>
  </si>
  <si>
    <t>Manifestaciones inscritas en las listas Representativas de Patrimonio Cultural Inmaterial.</t>
  </si>
  <si>
    <t>Identificación, Prevención y Gestión del Riesgo del Patrimonio Material</t>
  </si>
  <si>
    <t>Componente de Gestión del Riesgo para el Patrimonio e infraestructura Cultural incluido en el Plan Distrital de Gestión del Riesgo</t>
  </si>
  <si>
    <t>Secretaría de Cultura Patrimonio y Turismo - Oficina de Gestión del Riesgo</t>
  </si>
  <si>
    <t>Porcentaje de avance de la elaboración de la guía de actuación para la conservación y protección del patrimonio cultural</t>
  </si>
  <si>
    <t>Numero de monumentos Intervenidos</t>
  </si>
  <si>
    <t>Restauración, intervención y conservación de edificaciones para actividades culturales</t>
  </si>
  <si>
    <t>Número de proyectos de restauración, intervención y conservación de edificaciones para actividades culturales</t>
  </si>
  <si>
    <t>Fortalecimiento de la Red Distrital de Museos</t>
  </si>
  <si>
    <t>Porcentaje de avance de la creación de la Red Distrital de Museos</t>
  </si>
  <si>
    <t>RECREACIÓN Y DEPORTES</t>
  </si>
  <si>
    <t>Deporte al barrio</t>
  </si>
  <si>
    <t>Satisfacción general con la oferta recreativa y deportiva en la ciudad</t>
  </si>
  <si>
    <t>Formación Deportiva en tu Barrio</t>
  </si>
  <si>
    <t>Niños, niñas y adolescentes participantes en las academias de formación deportiva.</t>
  </si>
  <si>
    <t>Secretaría de Recreación y Deporte</t>
  </si>
  <si>
    <t>A.4. Deporte y Recreación</t>
  </si>
  <si>
    <t>No de disciplinas Deportivas ofrecidas en el programa de escuelas de formación.</t>
  </si>
  <si>
    <t>Promoción del Deporte Social Comunitario, Formativo y Asociado</t>
  </si>
  <si>
    <t>Número de personas beneficiadas en actividades de recreación y formación deportiva.</t>
  </si>
  <si>
    <t>Número de organizaciones deportivas beneficiadas en actividades de recreación y formación deportiva.</t>
  </si>
  <si>
    <t>Porcentaje de las actividades deportivas ofrecidas con promoción de la participación de género.</t>
  </si>
  <si>
    <t>Número de personas víctimas del conflicto, afros, etnias, jóvenes en el sistema de responsabilidad penal.</t>
  </si>
  <si>
    <t xml:space="preserve">Apoyo a Juegos Intercolegiados </t>
  </si>
  <si>
    <t>Número de estudiantes participantes de juegos Intercolegiados</t>
  </si>
  <si>
    <t xml:space="preserve">Desarrollo y fortalecimiento institucional del deporte </t>
  </si>
  <si>
    <t>Porcentaje de avance de la formulación y adopción de la Política Pública de Recreación y Deportes.</t>
  </si>
  <si>
    <t>Porcentaje de avance de la primera etapa: la implementación de la Política Pública de Recreación y Deportes.</t>
  </si>
  <si>
    <t>No. de personas capacitadas en procesos de formación</t>
  </si>
  <si>
    <t>Barranquilla activa y recreativa</t>
  </si>
  <si>
    <t xml:space="preserve">Promoción de la Actividad Física </t>
  </si>
  <si>
    <t>Número de personas que participan en las jornadas de actividades saludables</t>
  </si>
  <si>
    <t>Número de personas
participando en las
ciclovías</t>
  </si>
  <si>
    <t xml:space="preserve">Aprovechamiento productivo del tiempo libre  </t>
  </si>
  <si>
    <t>Niños, niñas, adolescentes, jóvenes, adultos y adultos mayores beneficiados con actividades de uso del tiempo libre</t>
  </si>
  <si>
    <t xml:space="preserve">Deporte IN-cluyente </t>
  </si>
  <si>
    <t xml:space="preserve">Promoción de actividades de recreación en parques IN-cluyentes </t>
  </si>
  <si>
    <t>Número de personas con discapacidad atendidas participando en actividades físicas y deporte adaptado.</t>
  </si>
  <si>
    <t xml:space="preserve">Formación de Semilleros IN-cluyentes </t>
  </si>
  <si>
    <t>Número de personas con discapacidad beneficiadas por los semilleros deportivos</t>
  </si>
  <si>
    <t xml:space="preserve"> Desarrollo de Familias IN-cluyentes </t>
  </si>
  <si>
    <t>Número de personas del entorno de la población con discapacidad en procesos de formación.</t>
  </si>
  <si>
    <t>Barranquilla para el mundo</t>
  </si>
  <si>
    <t>Número de Atletas de alto rendimiento participantes en eventos nacionales e internacionales.</t>
  </si>
  <si>
    <t>Escenarios Deportivos</t>
  </si>
  <si>
    <t>Número de escenarios deportivos con mantenimiento preventivo y correctivo.</t>
  </si>
  <si>
    <t xml:space="preserve">Apoyo a deportistas </t>
  </si>
  <si>
    <t>Número de Atletas apoyados para mejorar sus competencias y participación en eventos deportivos.</t>
  </si>
  <si>
    <t xml:space="preserve">Eventos deportivos locales, nacionales e internacionales </t>
  </si>
  <si>
    <t>Eventos deportivos realizados en la ciudad apoyados a nivel técnico, logístico y operativo</t>
  </si>
  <si>
    <t>Número de postulaciones presentadas para ser sede de eventos deportivos.</t>
  </si>
  <si>
    <t>ADMINISTRACIÓN PÚBLICA EFICIENTE</t>
  </si>
  <si>
    <t xml:space="preserve">Mejor inversión pública. </t>
  </si>
  <si>
    <t>Índice de Desempeño Fiscal</t>
  </si>
  <si>
    <t xml:space="preserve">Sistema de monitoreo de la inversión pública </t>
  </si>
  <si>
    <t>Porcentaje de monitoreo de la inversión implementada en el Sistema de información de datos espaciales</t>
  </si>
  <si>
    <t xml:space="preserve">Efectividad y Estabilidad Del Sistema Tributario </t>
  </si>
  <si>
    <t>Índice de recaudo del impuesto predial facturado: Ingresos corrientes recaudados de IPU/ Ingresos corrientes programados a recibir de IPU</t>
  </si>
  <si>
    <t>Recuperación de Cartera: Cartera recuperada / Total de la cartera</t>
  </si>
  <si>
    <t xml:space="preserve">Sostenibilidad financiera </t>
  </si>
  <si>
    <t>Liquidación del servicio a la deuda/ Pago del servicio a la deuda</t>
  </si>
  <si>
    <t>Fuentes alternativas de financiamiento público y fortalecimiento de recaudo de rentas propias</t>
  </si>
  <si>
    <t>% de avance en el diseño y gestión de instrumentos de financiamientos de captura de valores</t>
  </si>
  <si>
    <t>% de avance en el diseño e implementación de instrumento que permita la gestión del recaudo y fiscalización por parte de la Gerencia de Ingresos de los ingresos propios que hoy están a cargo
de otras dependencias distintas a la Gerencia.</t>
  </si>
  <si>
    <t xml:space="preserve">Operación del Observatorio Inmobiliario </t>
  </si>
  <si>
    <t>Bases de datos geográfica del Distrito con estadísticas catastrales, ordenamiento, población e inversión pública consolidadas</t>
  </si>
  <si>
    <t>Secretaría de Hacienda -Gerencia de Gestión Catastral</t>
  </si>
  <si>
    <t xml:space="preserve">Promoción de un Catastro más fácil </t>
  </si>
  <si>
    <t>Porcentaje del censo inmobiliario del Distrito incorporados en la base de datos catastral.</t>
  </si>
  <si>
    <t>Porcentaje de predios actualizados</t>
  </si>
  <si>
    <t xml:space="preserve"> Fortalecimiento del desempeño y la eficiencia</t>
  </si>
  <si>
    <t>Índice de Desempeño Municipal
Índice de Desempeño Institucional (FURAG)</t>
  </si>
  <si>
    <t>76,01
76,02</t>
  </si>
  <si>
    <t>77
81,02</t>
  </si>
  <si>
    <t xml:space="preserve">Fortalecimiento del Talento Humano </t>
  </si>
  <si>
    <t>Concursos de méritos para la provisión de empleos de carrera administrativaa realizados</t>
  </si>
  <si>
    <t xml:space="preserve">Secretaría de Gestión Humana </t>
  </si>
  <si>
    <t>Plan de bienestar, capacitación y SST implementado</t>
  </si>
  <si>
    <t>Modernización de la administración central y descentralizada</t>
  </si>
  <si>
    <t>Porcentaje de funcionarios evaluados con calificación sobresaliente</t>
  </si>
  <si>
    <t xml:space="preserve">Modernización de la Gestión Documental </t>
  </si>
  <si>
    <t>Porcentaje de elaboración de las herramientas archivísticas de las entidades del Distrito de Barranquilla</t>
  </si>
  <si>
    <t xml:space="preserve">Secretaría General </t>
  </si>
  <si>
    <t>Porcentaje de espacio físico del archivo central adecuado de acuerdo con normas técnicas de conservación y archivísticas</t>
  </si>
  <si>
    <t>Número de series documentales digitalizadas para la aplicación de la política CERO PAPEL</t>
  </si>
  <si>
    <t>No de trámites y procesos automatizados dentro de la estrategia CERO PAPEL</t>
  </si>
  <si>
    <t xml:space="preserve">Remodelación, adecuación y gestión efectiva de las sedes de la Alcaldía Distrital de Barranquilla </t>
  </si>
  <si>
    <t>Sede remodeladas y adecuadas</t>
  </si>
  <si>
    <t xml:space="preserve">Defensa jurídica </t>
  </si>
  <si>
    <t>Porcentaje de procesos fallados a favor del Distrito</t>
  </si>
  <si>
    <t>Secretaría Jurídica</t>
  </si>
  <si>
    <t>Porcentaje de títulos ejecutivos recuperados</t>
  </si>
  <si>
    <t xml:space="preserve">Actualización de la Base de Datos del SISBEN </t>
  </si>
  <si>
    <t>Porcentaje de aplicación de la nueva metodología del SISBEN</t>
  </si>
  <si>
    <t>Porcentaje de la base de datos actualizada</t>
  </si>
  <si>
    <t xml:space="preserve">Sistemas de Gestión Implementados y Fortalecidos </t>
  </si>
  <si>
    <t>SGC implementado y certificado – NTC-ISO 9001:2015</t>
  </si>
  <si>
    <t>Gerencia de Control Interno de Gestión</t>
  </si>
  <si>
    <t>SGA implementado y certificado – ISO 14001:2015</t>
  </si>
  <si>
    <t>Número de productos sustituidos o introducidos con criterios de sostenibilidad</t>
  </si>
  <si>
    <t>Modelo de Gestión del Conocimiento implementado</t>
  </si>
  <si>
    <t>250.000.000.</t>
  </si>
  <si>
    <t>Unidad para la gestión de la información, el conocimiento y la innovación social del Distrito de Barranquilla</t>
  </si>
  <si>
    <t>Número de piezas de información como reportes, informes, policy brief o infografías elaboradas</t>
  </si>
  <si>
    <t>Número de observatorios funcionando y trabajando en red</t>
  </si>
  <si>
    <t>Número de concursos de iniciativas de innovación social realizados</t>
  </si>
  <si>
    <t xml:space="preserve">Secretaría de Planeación 
Secretaría General </t>
  </si>
  <si>
    <t>Innovación y mantenimiento de la infraestructura tecnológica de la entidad</t>
  </si>
  <si>
    <t>Porcentaje de la infraestructura tecnológica Innovada</t>
  </si>
  <si>
    <t>Secretaría General - Oficina de Sistemas</t>
  </si>
  <si>
    <t>Porcentaje de infraestructura tercerizadas en un datacenter</t>
  </si>
  <si>
    <t>No. de servidores nuevos para la repotenciación de la infraestructura de almacenamiento de información</t>
  </si>
  <si>
    <t>No. de servicios migrados a la nube para la Disponibilidad de los Servicios</t>
  </si>
  <si>
    <t>Porcentaje de infraestructura que opera la  entidad con mantenimiento</t>
  </si>
  <si>
    <t>Plan de Compras Alcaldía de Barranquilla</t>
  </si>
  <si>
    <t>Porcentaje de actualización del SGPRO</t>
  </si>
  <si>
    <t>Enlace en la web de la Alcaldía para registrarse al SGPRO habilitado</t>
  </si>
  <si>
    <t>Porcentaje de contratistas de la entidad en el rango establecido</t>
  </si>
  <si>
    <t>Digitalización, racionalización y aumento de la eficiencia en los procesos y servicios prestados por la Secretaría de Tránsito y seguridad vial</t>
  </si>
  <si>
    <t>Tiempo promedio anual de espera en sala</t>
  </si>
  <si>
    <t>Secretaría de Tránsito y Seguridad Vial</t>
  </si>
  <si>
    <t>Porcentaje de avance de implementación de la estrategia anual de racionalización de trámites</t>
  </si>
  <si>
    <t>Porcentaje anual de registro oportuno del fallo en el sistema</t>
  </si>
  <si>
    <t>Tiempo promedio anual de duración del proceso contravencional en primera instancia</t>
  </si>
  <si>
    <t>Porcentaje de avance del plan de organización del archivo físico de los expedientes</t>
  </si>
  <si>
    <t>Porcentaje de expedientes fallados en audiencia, digitalizados</t>
  </si>
  <si>
    <t>Optimizar los recursos de inversión en seguridad vial</t>
  </si>
  <si>
    <t>Avance anual del plan de recuperación de cartera</t>
  </si>
  <si>
    <t>Plataforma institucional y tecnológica para la Inspección, vigilancia y control</t>
  </si>
  <si>
    <t>Porcentaje de avance en la estructuración del Programa</t>
  </si>
  <si>
    <t>Porcentaje de responsables del proceso de formalización dotados con los elementos mínimos necesarios.</t>
  </si>
  <si>
    <t>No. de empresarios formalizados</t>
  </si>
  <si>
    <t>No. intervenciones a empresarios</t>
  </si>
  <si>
    <t xml:space="preserve"> ESPACIOS PÚBLICOS VIBRANTES</t>
  </si>
  <si>
    <t>Espacios Públicos de calidad</t>
  </si>
  <si>
    <t>Satisfacción con parques y zonas verdes públicas</t>
  </si>
  <si>
    <t xml:space="preserve">Transformación del Entorno Urbano - TEU  </t>
  </si>
  <si>
    <t>Zonas TEU intervenidas</t>
  </si>
  <si>
    <t>A.15. Equipamiento</t>
  </si>
  <si>
    <t xml:space="preserve">Barrios a la Obra </t>
  </si>
  <si>
    <t>m2 carril de infraestructura construida</t>
  </si>
  <si>
    <t>Secretaría de Obras Públicas</t>
  </si>
  <si>
    <t>Todos al parque</t>
  </si>
  <si>
    <t>Número de Parques, plazas y zonas verdes recuperados</t>
  </si>
  <si>
    <t>ADI</t>
  </si>
  <si>
    <t>Nuevos parques construidos</t>
  </si>
  <si>
    <t>Porcentaje de  Parques, bulevares, plazas y zonas verdes con mantenimiento</t>
  </si>
  <si>
    <t>Porcentaje de avance del concurso para la elaboración del plan de Parque Batallón</t>
  </si>
  <si>
    <t>% de parques recuperados y/o nuevos con accesibilidad para personas con dispacidad</t>
  </si>
  <si>
    <t xml:space="preserve">Plan de Mantenimiento de Equipamientos Urbanos en Espacio Público </t>
  </si>
  <si>
    <t>Porcentaje de avance en la formulación del plan de mantenimiento</t>
  </si>
  <si>
    <t>Manual del Espacio Público</t>
  </si>
  <si>
    <t>Porcentaje de avance del manual de aprovechamiento de espacio público aprobado</t>
  </si>
  <si>
    <t>Porcentaje de avance de la elaboración del manual de espacio público y paisajismo formulado</t>
  </si>
  <si>
    <t xml:space="preserve">Fortalecimiento del Ordenamiento del Espacio Público </t>
  </si>
  <si>
    <t>Número campañas sobre normas y buen uso del espacio publico</t>
  </si>
  <si>
    <t>Metros cuadrados de espacio público recuperado</t>
  </si>
  <si>
    <t xml:space="preserve">Construcción del Gran Malecón del Río </t>
  </si>
  <si>
    <t>Kilómetros construidos</t>
  </si>
  <si>
    <t>Mobiliario Urbano</t>
  </si>
  <si>
    <t>Porcentaje de ejecución del proyecto de mobiliario urbano</t>
  </si>
  <si>
    <t>Recuperación de Centro Histórico y  Mercado Públicos</t>
  </si>
  <si>
    <t>Recuperación y construcción de mercados públicos</t>
  </si>
  <si>
    <t>Número de mercados públicos renovados</t>
  </si>
  <si>
    <t xml:space="preserve">EDUBAR - Secretaría de Control Urbano y Espacio Público </t>
  </si>
  <si>
    <t>Número de personas beneficiadas</t>
  </si>
  <si>
    <t>Número de vendedores informales beneficiados</t>
  </si>
  <si>
    <t>Porcentaje de avance en la elaboración del diagnóstico de desplazamiento interurbano entregado</t>
  </si>
  <si>
    <t>Porcentaje de avance en la adecuación de las zonas para mercado satélite</t>
  </si>
  <si>
    <t xml:space="preserve">Intervenciones del Espacio Público en el Centro Histórico </t>
  </si>
  <si>
    <t>Metros cuadrados de espacio público intervenidos</t>
  </si>
  <si>
    <t>Gestión y apoyo para la reutilización, modernización de edificios estratégicos del centro histórico</t>
  </si>
  <si>
    <t>Porcentaje de avance en la elaboración del diagnóstico de adecuación entregado</t>
  </si>
  <si>
    <t>EDUBAR</t>
  </si>
  <si>
    <t>Edificio remodelado</t>
  </si>
  <si>
    <t>CONECTADA</t>
  </si>
  <si>
    <t>CIUDAD DE GENTE CONECTADA</t>
  </si>
  <si>
    <t xml:space="preserve"> Gobierno conectado con sus ciudadanos</t>
  </si>
  <si>
    <t>Índice de
Transparencia
Municipal</t>
  </si>
  <si>
    <t>Comunicaciones Distritales</t>
  </si>
  <si>
    <t>Porcentaje de avance del Plan de Comunicaciones</t>
  </si>
  <si>
    <t xml:space="preserve">Mantenimiento </t>
  </si>
  <si>
    <t>Publicaciones sobre promoción de ciudad</t>
  </si>
  <si>
    <t>Democratización de la contratación pública.</t>
  </si>
  <si>
    <t>Número de oferentes promedio en los procesos de contratación</t>
  </si>
  <si>
    <t xml:space="preserve">Porcentaje de convocatorias publicadas </t>
  </si>
  <si>
    <t>Sistema Integral de Atención al Ciudadano</t>
  </si>
  <si>
    <t>% de PQRSD respondidas</t>
  </si>
  <si>
    <t>Puntos nuevos de atención a ciudadanos en funcionamiento</t>
  </si>
  <si>
    <t>Número de canales institucionales habilitados para la radicación de PQRSD</t>
  </si>
  <si>
    <t>Número de trámites u OPAS racionalizados</t>
  </si>
  <si>
    <t>Cultura de pago de impuestos</t>
  </si>
  <si>
    <t>Numero de campañas realizadas anualmente</t>
  </si>
  <si>
    <t>Barranquilla Digital</t>
  </si>
  <si>
    <t>Índice de Gobierno
Abierto</t>
  </si>
  <si>
    <t>Infraestructura de Datos Espaciales</t>
  </si>
  <si>
    <t>Número de dependencias con base de datos consolidada</t>
  </si>
  <si>
    <t>% de los indicadores sectoriales actualizados en la plataforma virtual</t>
  </si>
  <si>
    <t>Secretaría de Planeación 
Secretaría General - Oficina de Sistemas</t>
  </si>
  <si>
    <t>Articulación de los sistemas de información de la entidad para el monitoreo y seguimiento</t>
  </si>
  <si>
    <t>Porcentaje de automatización y articulación de los sistemas de información de la entidad</t>
  </si>
  <si>
    <t>Barranquilla en línea y consulta a los ciudadanos</t>
  </si>
  <si>
    <t>No. De Trámites y servicios en línea</t>
  </si>
  <si>
    <t>No. de bases de datos Unificada</t>
  </si>
  <si>
    <t>No. de servicios de entes externos interoperando en la plataforma</t>
  </si>
  <si>
    <t>Aumento Cobertura Telefonía Móvil 4G</t>
  </si>
  <si>
    <t>Acuerdos de voluntades firmados con operadores de telefonía móvil</t>
  </si>
  <si>
    <t>Internet fibra óptica, conectividad y Data Center</t>
  </si>
  <si>
    <t>Gestión realizada para el aumento de la cobertura de Internet fibra óptica, conectividad y data center</t>
  </si>
  <si>
    <t>Promoción de la ciudadanía participativa y corresponsable</t>
  </si>
  <si>
    <t>Nivel de satisfacción de los ciudadanos con los servicios de la Alcaldía de Barranquilla</t>
  </si>
  <si>
    <t>Participativo y Toma de decisiones digitales</t>
  </si>
  <si>
    <t>Porcentaje de avance en la habilitación del instrumento virtual de votación Web creada</t>
  </si>
  <si>
    <t xml:space="preserve">Secretaría de Gobierno - Oficina de participación ciudadana </t>
  </si>
  <si>
    <t>A.16. Desarrollo Comunitario</t>
  </si>
  <si>
    <t>Promoción de la figura de las Juntas Administradoras Locales</t>
  </si>
  <si>
    <t>No. de Juntas administradoras (JAL) al capacitadas anualmente</t>
  </si>
  <si>
    <t>Fortalecimiento de las Organizaciones Sociales y Comunitarias</t>
  </si>
  <si>
    <t>Numero de organizaciones vinculadas al proceso de capacitación</t>
  </si>
  <si>
    <t>Gestión para la implementación de la política de Participación ciudadana en el Distrito</t>
  </si>
  <si>
    <t>Porcentaje de avance en la creación de la política publica</t>
  </si>
  <si>
    <t>Fortalecimiento de la jurisdicción de paz en el Distrito de Barranquilla</t>
  </si>
  <si>
    <t>No. de procesos de promoción de jueces de paz.</t>
  </si>
  <si>
    <t>Desarrollo de la estrategia “mi barrio imparable”</t>
  </si>
  <si>
    <t>No. de intervenciones realizadas bajo la estrategia “mi barrio imparable”</t>
  </si>
  <si>
    <t>Comité local de parques</t>
  </si>
  <si>
    <t>Número de Comité local de parques creados</t>
  </si>
  <si>
    <t>Cultura ciudadana</t>
  </si>
  <si>
    <t>Gran pacto de ciudad por la cultura ciudadana</t>
  </si>
  <si>
    <t>Entidades/Actores que firman el pacto</t>
  </si>
  <si>
    <t>Plataforma de voluntariado y capital social</t>
  </si>
  <si>
    <t>Porcentaje de avance en la creación de plataforma de voluntariado y capital social</t>
  </si>
  <si>
    <t>Porcentaje de ejecución de una ruta de formación y direccionamiento de iniciativas de personas y grupos que fortalecen el capital social hacia la plataforma de voluntariado y capital social</t>
  </si>
  <si>
    <t>Comunicación para la promoción de la cultura ciudadana y cambio social</t>
  </si>
  <si>
    <t>Número de charlas realizadas</t>
  </si>
  <si>
    <t>MOVILIDAD INTELIGENTE Y SEGURA</t>
  </si>
  <si>
    <t>Conectividad ágil, eficiente y segura</t>
  </si>
  <si>
    <t>Muertes en accidentes de tránsito por cada 100mil habitantes</t>
  </si>
  <si>
    <t>Plan malla vial</t>
  </si>
  <si>
    <t>Km malla vial mantenidos</t>
  </si>
  <si>
    <t>A.9. Transporte</t>
  </si>
  <si>
    <t>Porcentaje de avance en la formulación del Plan malla vial formulado</t>
  </si>
  <si>
    <t>Control y regulación del tránsito en el Distrito de Barranquilla</t>
  </si>
  <si>
    <t>Avance del plan anual de control operativo de tránsito.</t>
  </si>
  <si>
    <t>Centro de monitoreo y gestión del tránsito</t>
  </si>
  <si>
    <t>Porcentaje de avance en el diseño e implementación del Centro de monitoreo y gestión de tránsito diseñado e implementado</t>
  </si>
  <si>
    <t>Actualización y adopción del Plan Maestro de Movilidad (PMM)</t>
  </si>
  <si>
    <t>Porcentaje de avance en la actualización y adopción del PMM actualizado y adoptado</t>
  </si>
  <si>
    <t>Estudios para optimización del tránsito y la seguridad vial</t>
  </si>
  <si>
    <t>Porcentaje de avance de la elaboración de los estudios técnicos elaborados</t>
  </si>
  <si>
    <t>Microintervenciones viales</t>
  </si>
  <si>
    <t>No. de microintervenciones ejecutadas</t>
  </si>
  <si>
    <t>Semaforización</t>
  </si>
  <si>
    <t>No. de intersecciones semaforizadas nuevas</t>
  </si>
  <si>
    <t>Señalización</t>
  </si>
  <si>
    <t>No. de zonas escolares mantenidas y/o implementadas</t>
  </si>
  <si>
    <t>Metros lineales de mantenimiento e implementación de demarcación en vía</t>
  </si>
  <si>
    <t>No. de señales verticales implementadas y/o reemplazadas</t>
  </si>
  <si>
    <t>Kilómetros de bicicarriles nuevos señalizados y demarcados</t>
  </si>
  <si>
    <t>Kilómetros de carriles preferenciales implementados</t>
  </si>
  <si>
    <t>Planes Estratégicos de Seguridad Vial</t>
  </si>
  <si>
    <t>% de ejecución del cronograma de seguimiento a los Planes Estratégicos de Seguridad Vial de las empresas</t>
  </si>
  <si>
    <t>Estacionamientos en lotes y autoridad de estacionamiento</t>
  </si>
  <si>
    <t>Porcentaje de avance de la habilitación del sistema de administración de parqueaderos habilitado</t>
  </si>
  <si>
    <t>Conciencia vial</t>
  </si>
  <si>
    <t>Barranquilla con actores viales conscientes y corresponsables</t>
  </si>
  <si>
    <t>Porcentaje de la población de Barranquilla sensibilizada en movilidad segura</t>
  </si>
  <si>
    <t>Porcentaje de avance en la reglamentación de un sistema de incentivos para entidades, organizaciones o empresas que demuestren compromiso con seguridad vial reglamentado</t>
  </si>
  <si>
    <t>Avance anual del plan de acciones conjuntas con Instituciones de Educación Superior y organizaciones de expertos en cultura ciudadana para la movilidad.</t>
  </si>
  <si>
    <t>Educación Vial al alcance de todos</t>
  </si>
  <si>
    <t>Porcentaje de avance en la creación de una aplicación movíl para la educación vial</t>
  </si>
  <si>
    <t>Cultura del respeto para la movilidad incluyente y accesible</t>
  </si>
  <si>
    <t>Número de personas con discapacidad sensibilizadas en materia de respeto a las normas de tránsito y autocuidado en las vías del Distrito.</t>
  </si>
  <si>
    <t>Número de conductores sensibilizados en el respeto a las zonas preferenciales y/o exclusivas para el estacionamiento o tránsito de los actores viales con discapacidad.</t>
  </si>
  <si>
    <t>Número de conductores de servicio de transporte público individual, colectivo y masivo sensibilizados en el trato digno al pasajero con discapacidad.</t>
  </si>
  <si>
    <t xml:space="preserve">Cultura para la movilidad sostenible y segura </t>
  </si>
  <si>
    <t>Número de ciclopaseos realizados</t>
  </si>
  <si>
    <t>Número de ciclovías realizadas</t>
  </si>
  <si>
    <t>Número de Instituciones educativas del Distrito con la estrategia de la Escuela de la bici implementada.</t>
  </si>
  <si>
    <t>Tránsito y movilidad más eficiente</t>
  </si>
  <si>
    <t xml:space="preserve">% Accesibilidad del territorio distrital al SITP a menos de 500 mts de distancia </t>
  </si>
  <si>
    <t>RITMO</t>
  </si>
  <si>
    <t>Porcentaje de cumplimiento al acompañamiento necesario para impulsar la gestión del proyecto</t>
  </si>
  <si>
    <t>AMB</t>
  </si>
  <si>
    <t>Transmetro fase II</t>
  </si>
  <si>
    <t>Acompañamiento a la gestión y diseño de informes de seguimiento aceptados</t>
  </si>
  <si>
    <t>Transmetro</t>
  </si>
  <si>
    <t>incremento</t>
  </si>
  <si>
    <t>Porcentaje de avance en la estructuración del proyecto</t>
  </si>
  <si>
    <t>Chatarrización</t>
  </si>
  <si>
    <t>Acompañamiento a Porcentaje de cumplimiento al acompañamiento necesario para la chatarrización</t>
  </si>
  <si>
    <t>Nuevas alternativas de transporte</t>
  </si>
  <si>
    <t>Informes de avance solicitados al AMB</t>
  </si>
  <si>
    <t>Servicios tecnológicos para el control de los servicios de transporte de pasajeros individual (TPI)</t>
  </si>
  <si>
    <t>Conexiones regionales</t>
  </si>
  <si>
    <t>Vía Ciénaga-Barranquilla</t>
  </si>
  <si>
    <t xml:space="preserve">Porcentaje de cumplimiento al acompañamiento necesario para impulsar la gestión del proyecto </t>
  </si>
  <si>
    <t>Tren del Caribe</t>
  </si>
  <si>
    <t>Acompañamiento y escenarios de impulso de proyecto generados</t>
  </si>
  <si>
    <t>Secretaría General 
Secretaría de Desarrollo Económico</t>
  </si>
  <si>
    <t>APP del Rio</t>
  </si>
  <si>
    <t>Escenarios de acompañamiento e impulso de app del río ante el gobierno nacional y autoridades competentes</t>
  </si>
  <si>
    <t>Zona portuaria Marítima</t>
  </si>
  <si>
    <t>Presentación de proyecto ante empresas interesadas en la Zona Portuaria Marítima de Barranquilla</t>
  </si>
  <si>
    <t>14. Vida submarina</t>
  </si>
  <si>
    <t>SOY BIODIVERCIUDAD</t>
  </si>
  <si>
    <t>Dragado canal de acceso</t>
  </si>
  <si>
    <t>Acompañamiento a la gestión para el dragado del canal de acceso al río magdalena</t>
  </si>
  <si>
    <t>Conectividad Isla Salamanca</t>
  </si>
  <si>
    <t>Porcentaje de avance en la construcción de la infraestructura del Muelle embarcadero parque isla Salamanca</t>
  </si>
  <si>
    <t>Conectividad Regional</t>
  </si>
  <si>
    <t>Secretaría General</t>
  </si>
  <si>
    <t>CIUDAD SUSTENTABLE</t>
  </si>
  <si>
    <t>Ciudad verde</t>
  </si>
  <si>
    <t>Hectáreas de ecosistemas de manglar y bosque seco recuperados
M2 de áreas verdes recuperadas</t>
  </si>
  <si>
    <t>5,53
560000</t>
  </si>
  <si>
    <t>30
480000</t>
  </si>
  <si>
    <t>Recuperación integral de la Ciénaga de Mallorquín</t>
  </si>
  <si>
    <t>Porcentaje de formulación del plan de recuperación y saneamiento de la Ciénaga de Mallorquín</t>
  </si>
  <si>
    <t>Barranquilla Verde</t>
  </si>
  <si>
    <t>A.10. Ambiental</t>
  </si>
  <si>
    <t>Implementación del plan de recuperación y saneamiento de la Ciénaga de Mallorquín</t>
  </si>
  <si>
    <t>3.200.000.00</t>
  </si>
  <si>
    <t>Metros cuadrados de senderos ecoturísticos construidos</t>
  </si>
  <si>
    <t>Porcentaje de infraestructura para el turismo consolidada</t>
  </si>
  <si>
    <t>Porcentaje de recuperación de las playas de Puerto Mocho</t>
  </si>
  <si>
    <t>Barranquilla Verde  
Secretaría de Obras Públicas</t>
  </si>
  <si>
    <t>Bosques urbanos</t>
  </si>
  <si>
    <t>Número de metros cuadrados de bosques urbanos generados y preservados</t>
  </si>
  <si>
    <t>ADI 
Gestión del riesgo</t>
  </si>
  <si>
    <t>15. Vida de ecosistemas terrestres</t>
  </si>
  <si>
    <t>Formulación de la Política de sostenibilidad ambiental</t>
  </si>
  <si>
    <t>Porcentaje de avance en la elaboración de la Política de sostenibilidad ambiental</t>
  </si>
  <si>
    <t>Siembra Barranquilla</t>
  </si>
  <si>
    <t>Número de árboles sembrados o resembrados</t>
  </si>
  <si>
    <t>Ciudad de agua</t>
  </si>
  <si>
    <t>Indice de calidad de agua</t>
  </si>
  <si>
    <t>Recuperación integral de rondas de caños, arroyos y cuerpos de agua</t>
  </si>
  <si>
    <t>Hectáreas de parques lineales construidos</t>
  </si>
  <si>
    <t>Cuerpos de agua sanos</t>
  </si>
  <si>
    <t>Numero de planes de ordenamiento del recurso hídrico formulado</t>
  </si>
  <si>
    <t>Número de campañas realizadas de conciencia ambiental a los cuerpos de agua</t>
  </si>
  <si>
    <t>Red Distrital de Monitoreo del Recurso Hídrico conformada</t>
  </si>
  <si>
    <t>Drenaje pluvial efectivo</t>
  </si>
  <si>
    <t>Porcentaje de avance de la elaboración del Plan maestro</t>
  </si>
  <si>
    <t>Metros lineales canalizados</t>
  </si>
  <si>
    <t>CUIDADO DEL ENTORNO URBANO AMBIENTAL</t>
  </si>
  <si>
    <t>Fuentes de energía renovable</t>
  </si>
  <si>
    <t>Fuentes de energías
alternativas renovables
en uso</t>
  </si>
  <si>
    <t>Generación y utilización de fuentes de energía renovables y limpias</t>
  </si>
  <si>
    <t>Porcentaje de estudio de transición energética a energías renovables en entidades públicas distritales formulado</t>
  </si>
  <si>
    <t>Porcentaje de avance en la creación de una empresa de servicio público que venda energía solar</t>
  </si>
  <si>
    <t>Porcentaje de instalación de páneles solares en instituciones públicas</t>
  </si>
  <si>
    <t>Mejorar el desempeño ambiental y energético de la industria para la reducción de emisiones de contaminantes y gases de efecto invernadero</t>
  </si>
  <si>
    <t>Número de empresas con operarios capacitados en manejo de equipos de combustión</t>
  </si>
  <si>
    <t>Calidad del aire</t>
  </si>
  <si>
    <t>Satisfacción con la calidad del
aire</t>
  </si>
  <si>
    <t>Red de vigilancia de la calidad del aire</t>
  </si>
  <si>
    <t>Número de estaciones de monitoreo del aire en operación</t>
  </si>
  <si>
    <t>Cultura de regulación y mitigación de contaminación por ruido</t>
  </si>
  <si>
    <t>Porcentaje del Plan de Descontaminación de ruido elaborado</t>
  </si>
  <si>
    <t>Aire limpio</t>
  </si>
  <si>
    <t>Porcentaje de Inventario desarrollado de fuentes móviles y fijas</t>
  </si>
  <si>
    <t>Porcentaje de Huella de carbono determinada para el sector industrial en el distrito</t>
  </si>
  <si>
    <t>Número de eventos o campañas educativas</t>
  </si>
  <si>
    <t>Manejo responsable de residuos sólidos</t>
  </si>
  <si>
    <t>Índice de la calidad urbana</t>
  </si>
  <si>
    <t>Actualización del plan integral de gestión de residuos sólidos - PGIRS</t>
  </si>
  <si>
    <t>Porcentaje de actualización del PGIRS</t>
  </si>
  <si>
    <t>Número de campañas de  sensibilización realizadas a las asociaciones de recicladores</t>
  </si>
  <si>
    <t>Porcentaje del censo de recicladores actualizado</t>
  </si>
  <si>
    <t>Porcentaje de residuos sólidos del distrito caracterizados</t>
  </si>
  <si>
    <t>Barranquilla limpia con cultura de reciclaje</t>
  </si>
  <si>
    <t>Campañas para generar conciencia y de pertenencia y cuidado del entorno público y privado</t>
  </si>
  <si>
    <t>Disposición especializada y procesamiento de residuos sólidos y peligrosos</t>
  </si>
  <si>
    <t>Gestión para la construcción y operación de planta de compostaje, disposición y aprovechamiento de residuos sólidos de construcción, demolición y una de residuos peligrosos</t>
  </si>
  <si>
    <t>Vigilancia de residuos sólidos de materia orgánica</t>
  </si>
  <si>
    <t>Fauna doméstica y silvestre</t>
  </si>
  <si>
    <t>Atención animal</t>
  </si>
  <si>
    <t>Porcentaje de avance en la creación y dotación de un centro de bienestar para animales domésticos</t>
  </si>
  <si>
    <t>Porcentaje de mascotas, caninos, felinos y equinos atendidas.</t>
  </si>
  <si>
    <t>Porcentaje de avance en la creación y dotación de una unidad para animales silvestres</t>
  </si>
  <si>
    <t>Patrullas de reacción inmediata animal</t>
  </si>
  <si>
    <t>Número de patrullas de reacción inmediata en funcionamiento</t>
  </si>
  <si>
    <t>Cultura de respeto animal</t>
  </si>
  <si>
    <t>RESILIENCIA Y SOSTENIBILIDAD ANTE EL RIESGO</t>
  </si>
  <si>
    <t>Conocimiento y reducción del riesgo</t>
  </si>
  <si>
    <t>Porcentaje de población
Barranquillera informada en
Gestión del Riesgo de Desastre</t>
  </si>
  <si>
    <t>11.9%</t>
  </si>
  <si>
    <t>Identificación, análisis, evaluación y monitoreo del riesgo de desastres en el territorio urbano del Distrito de Barranquilla</t>
  </si>
  <si>
    <t>Porcentaje de avance de la formulación del estudio de riesgos hidrometereológicos Barranquilla.</t>
  </si>
  <si>
    <t>Porcentaje de avance de la formulación del estudio de microzonificación sísmica.</t>
  </si>
  <si>
    <t>Porcentaje de avance en la formulación del diagnóstico hidrodinámico y análisis del riesgo de contaminantes mediante trazadores en el Rio Magdalena, entre km 0 al 33.</t>
  </si>
  <si>
    <t>Oficina de Gestión del Riesgo 
Secretaria de Desarrollo Económico-Oficina de Asuntos Portuarios</t>
  </si>
  <si>
    <t>Porcentaje de avance de la adecuación del centro de monitoreo y/u observatorio</t>
  </si>
  <si>
    <t>Porcentaje de avance en la dotación necesaria del centro de monitoreo y/u observatorio</t>
  </si>
  <si>
    <t>Porcentaje de avance en la implementación de un Sistema de Información de Gestión del Riesgo</t>
  </si>
  <si>
    <t>Oficina de Gestión del Riesgo 
Secretaria General - Oficina de Sistemas de Información</t>
  </si>
  <si>
    <t>Estrategias de sensibilización del conocimiento del Riesgo de Desastres</t>
  </si>
  <si>
    <t>Número de campañas masivas de comunicación del riesgo realizadas</t>
  </si>
  <si>
    <t xml:space="preserve">Planificación frente al cambio climático  </t>
  </si>
  <si>
    <t>Porcentaje de avance del estudio de adaptación y mitigación al cambio climático en el distrito de Barranquilla.</t>
  </si>
  <si>
    <t>13. Acción por el clima</t>
  </si>
  <si>
    <t>Preparación y Manejo del Desastre</t>
  </si>
  <si>
    <t>Mantener o disminuir el índice de
riesgos ajustado por
capacidades</t>
  </si>
  <si>
    <t>Atención Humanitaria y de la recuperación de las condiciones de normalidad</t>
  </si>
  <si>
    <t>Porcentaje de población afectada atendida</t>
  </si>
  <si>
    <t>Porcentaje de avance en la construcción centro de acopio</t>
  </si>
  <si>
    <t>Oficina de Gestión del Riesgo 
Secretaría General</t>
  </si>
  <si>
    <t>Porcentaje de avance en la adquisición de maquinaria, herramientas, equipos e insumos logísticos para atención de emergencias.</t>
  </si>
  <si>
    <t>Fortalecimiento de los consejos locales de gestión del riesgo y planes comunitarios</t>
  </si>
  <si>
    <t>Número de dotaciones entregadas</t>
  </si>
  <si>
    <t>Número de líderes institucionales y comunitarios en Gestión del Riesgo formados</t>
  </si>
  <si>
    <t>POLÍTICA EDUCACIÓN DE VANGUARDIA</t>
  </si>
  <si>
    <t>Indicador</t>
  </si>
  <si>
    <t>Meta 2020</t>
  </si>
  <si>
    <t>Meta 2021</t>
  </si>
  <si>
    <t>Meta 2022</t>
  </si>
  <si>
    <t>Meta 2023</t>
  </si>
  <si>
    <t>POLÍTICA CIUDAD SALUDABLE</t>
  </si>
  <si>
    <t>POLITICA VIVIENDA DIGNA PARA TODOS</t>
  </si>
  <si>
    <t>Operación estratégica del río</t>
  </si>
  <si>
    <t xml:space="preserve">Porcentaje de avance del estudio de viabilidad para la reubicación de las líneas de alta tensión </t>
  </si>
  <si>
    <t>Kilómetros cuadrados de área urbana con cableado regulado</t>
  </si>
  <si>
    <t>POLITICA PROMOCIÓN DE LA INCLUSIÓN SOCIAL</t>
  </si>
  <si>
    <t xml:space="preserve"> Juventud con Sentido</t>
  </si>
  <si>
    <t>No. Jóvenes fortalecidos en el ámbito organizacional y de participación</t>
  </si>
  <si>
    <t>No. De Jóvenes empoderados y con oportunidades de desarrollo promovidas</t>
  </si>
  <si>
    <t>Número de jóvenes de la población NARP inscritos y acompañados en programas de empoderamiento juvenil</t>
  </si>
  <si>
    <t xml:space="preserve">No. De Jóvenes cualificados en liderazgo y ciudadanía juvenil
</t>
  </si>
  <si>
    <t>Diagnóstico y Diseño De La Política Pública Para Apoyo y Fortalecimiento De Las Familias</t>
  </si>
  <si>
    <t xml:space="preserve"> Atención integral a migrantes </t>
  </si>
  <si>
    <t xml:space="preserve"> Apalancamiento financiero </t>
  </si>
  <si>
    <t>CIUDAD CULTURAL Y VIBRANTE</t>
  </si>
  <si>
    <t>PROTECCIÓN, SALVAGUARDIA Y SOSTENIBILIDAD DEL PATRIMONIO CULTURA</t>
  </si>
  <si>
    <t xml:space="preserve"> Sistema de monitoreo de la inversión pública </t>
  </si>
  <si>
    <t xml:space="preserve"> Fuentes alternativas de financiamiento público y fortalecimiento de recaudo de rentas propias</t>
  </si>
  <si>
    <t>% de avance en el diseño e implementación de instrumento que permita la gestión del recaudo y fiscalización por parte de la Gerencia de Ingresos de los ingresos propios que hoy están a cargo de otras dependencias distintas a la Gerencia.</t>
  </si>
  <si>
    <t>Incremento - Mantenimiento</t>
  </si>
  <si>
    <t>Secretaría de Planeación 
Secretaría de Gobierno
Secretaría de Gestión Social 
Secretaría de Educación 
Oficina de Gestión del Riesgo</t>
  </si>
  <si>
    <t>Secretaría de Planeación 
Secretaría de Gobierno 
Secretaría de Gestión Social 
Secretaría de Educación 
Oficina de Gestión del Riesgo</t>
  </si>
  <si>
    <t>Porcentaje de avance en la rticulación de los sistemas de información</t>
  </si>
  <si>
    <t>Porcentaje de cumplimiento al acompañamiento necesario para impulsar la gestión del proyecto Acompañamiento</t>
  </si>
  <si>
    <t xml:space="preserve">Secretaría de Desarrollo Económico - Oficinas de Asuntos Portuarios </t>
  </si>
  <si>
    <t>Acompañamiento Porcentaje de cumplimiento al acompañamiento necesario para impulsar la gestión del proyecto</t>
  </si>
  <si>
    <t>Cobertura de vacunación BCG en menores de 1 año</t>
  </si>
  <si>
    <t>Gerencia de Ciudad</t>
  </si>
  <si>
    <t>Secretaría de Cultura y Patrimonio</t>
  </si>
  <si>
    <t>Gerencia TIC</t>
  </si>
  <si>
    <t xml:space="preserve">Secretaría de Control Urbano y Espacio Público </t>
  </si>
  <si>
    <t>Meta del Proyecto</t>
  </si>
  <si>
    <t>Aumentar a 210,500 los estudiantes matriculados en el sector oficial</t>
  </si>
  <si>
    <t>Mantener el 100% de población atendida caracterizada de acuerdo con el grupo poblaciónal al que pertenecen (etnia, afros, rom, víctimas, en condición de discapacidad, entre otros)</t>
  </si>
  <si>
    <t>Mantener al 100% la contratación del servicio educativo</t>
  </si>
  <si>
    <t>Aumentar a 120.000 los estudiantes beneficiados con la alimentación escolar</t>
  </si>
  <si>
    <t>Aumentar a 9.000 los estudiantes beneficiados on el servicio de transporte escolar</t>
  </si>
  <si>
    <t>Mantener la atención al 100% de niños, niñas y jóvenes con discapacidad que demanda un cupo en el sector oficial</t>
  </si>
  <si>
    <t>Mantener la atención al 100% de los niños, niñas y jóvenes de minorías étnicas que demanden un cupo en el sector oficial</t>
  </si>
  <si>
    <t>Mantener el 100% de las IED con Plan de mejoramiento institucional formulado e implementado</t>
  </si>
  <si>
    <t>Incrementar a 55% las IED clasificadas en categorías B, A o A+</t>
  </si>
  <si>
    <t>Mantener la aplicación de la metodología en 148 IED</t>
  </si>
  <si>
    <t>Aumentar a 100% las IED que cuentan con el proyecto</t>
  </si>
  <si>
    <t>Mantener el 100% de los docentes atendidos con el plan de bienestar docente</t>
  </si>
  <si>
    <t>Mantener el acompañamiento formativo a docentes en el 100% de las IED</t>
  </si>
  <si>
    <t>Construir o mejorar la infraestructura a 865 aulas adicionales</t>
  </si>
  <si>
    <t>Lograr la intervención de 8 instituciones educativas mediante alianzas públicas-privadas</t>
  </si>
  <si>
    <t>Aumentar a 46.000 los estudiantes beneficiados con jornada única</t>
  </si>
  <si>
    <t>Mantener el 100% de IED con ruta de atención integral para la</t>
  </si>
  <si>
    <t>Lograr que el 100% de las IED focalizadas participen en la conformación de redes interinstitucionales y familiares, de apoyo y formación</t>
  </si>
  <si>
    <t>Aumentar a 154 las IED con el proyecto de bilingüismo</t>
  </si>
  <si>
    <t>Aumentar a 80 IED impactadas con la promoción de la cultura y el ambiente</t>
  </si>
  <si>
    <t>Disminuir a 5 el número de niños por computador</t>
  </si>
  <si>
    <t>Mantener la doble titulación en 151 IED</t>
  </si>
  <si>
    <t>Beneficiar a 2.400 estudiantes con el proyecto “Universidad al barrio”</t>
  </si>
  <si>
    <t>400 cupos asignados  a grupos afrocolombianos, negros raizales o palenqueros.</t>
  </si>
  <si>
    <t>Beneficiar a 30.000 estudiantes con programas de educación superior que se ofrece por las diferentes instituciones</t>
  </si>
  <si>
    <t>100% de la gestión de acompañamiento realizada con la Universidad Distrital</t>
  </si>
  <si>
    <t>Lograr una cobertura de aseguramiento de la población SISBÉN nivel 1 y 2 del 100%</t>
  </si>
  <si>
    <t>Afiliar al 100% de la población Sisbén nivel 3 y 4 focalizados que no cuente con capacidad de pago</t>
  </si>
  <si>
    <t>Cubrir el 100% de migrantes irregulares que requieran atención en salud en los servicios establecidos por la normatividad vigente.</t>
  </si>
  <si>
    <t>Lograr que el 90% de las EAPB cumplan con el ranking territorial</t>
  </si>
  <si>
    <t>Implementación del 100% del Modelo de gestión del riesgo en salud</t>
  </si>
  <si>
    <t>Implementar el 100% de los acuerdos transectoriales</t>
  </si>
  <si>
    <t>Lograr la vigilancia y control al 100% de los establecimientos de interés sanitario priorizados</t>
  </si>
  <si>
    <t>Mantener por debajo de 5 el IRCA</t>
  </si>
  <si>
    <t>Mantener el índice de infestación larvaria de vivienda entre 1,2 - &lt;10%</t>
  </si>
  <si>
    <t>Aumentar a 80% la cobertura de vacunación antirrábica canina y felina</t>
  </si>
  <si>
    <t>Mantener en el 95% el cumplimiento de las metas del PTS.</t>
  </si>
  <si>
    <t>Mantener el 100% del recurso humano vinculado a los programas y proyectos de acuerdo con lo solicitado.</t>
  </si>
  <si>
    <t>Mantener por encima del 95% los eventos de interés en salud pública controlados</t>
  </si>
  <si>
    <t>Lograr que las EAPB cumplan el 90% de actividades de Promoción y Prevención priorizadas</t>
  </si>
  <si>
    <t>Lograr que las EAPB cumplan el 90% de los resultados de los eventos priorizados en cuenta de alto costo.</t>
  </si>
  <si>
    <t>Mantener en las 154 IED la estrategia “Salud en el Colegio”</t>
  </si>
  <si>
    <t>Mantener en un 100% las EAPB que implementan la ruta de mantenimiento de la salud</t>
  </si>
  <si>
    <t>Mantener por encima del 95% la Cobertura de terapia antirretroviral para VIH.</t>
  </si>
  <si>
    <t>Mantener en 100% las gestantes con VIH cubiertas con la estrategia de reducción de la transmisión vertical.</t>
  </si>
  <si>
    <t>Incrementar a 95% la cobertura de las mujeres gestantes con 4 o más controles prenatales.</t>
  </si>
  <si>
    <t>Mantener en 33 el Número de instituciones con Sistema de Vigilancia Nutricional</t>
  </si>
  <si>
    <t>Mantener por encima del 95% la Cobertura de vacunación en menores de 1 año</t>
  </si>
  <si>
    <t>Redes juveniles para la promoción y fomento de los derechos sexuales, derechos reproductivos en 8 instituciones de educación técnica y superior</t>
  </si>
  <si>
    <t>Lograr que el 100% de las EAPB brinden los servicios bajo el modelo de servicios amigables para adolescentes y jóvenes</t>
  </si>
  <si>
    <t>100% de las IED priorizadas promoviendo y fomentando los derechos sexuales y derechos reproductivos.</t>
  </si>
  <si>
    <t>Lograr que el 100% de casos y/o situaciones que requieren intervención inmediata sean atendidos, gestionados y cerrados.</t>
  </si>
  <si>
    <t>Disminuir en un 30% las tutelas presentadas en salud.</t>
  </si>
  <si>
    <t>Conseguir que el 100% de EPS implementen las rutas de atención en salud con enfoque diferencial</t>
  </si>
  <si>
    <t>Mantener el 100% de EPS certificando la discapacidad de sus afiliados.</t>
  </si>
  <si>
    <t>Mantener el 100% de situaciones de emergencia efectivamente atendidas.</t>
  </si>
  <si>
    <t>Alcanzar el 90% de cumplimiento de la referencia y contrarreferencia por las EAPB</t>
  </si>
  <si>
    <t>Lograr el 90% de servicios de atención pre-hospitalaria efectivamente atendidos por el SEM.</t>
  </si>
  <si>
    <t>Incrementar al 90% los prestadores certificados de los visitados en condiciones de habilitación durante la vigencia</t>
  </si>
  <si>
    <t>Lograr que el 100% de los prestadores reporten indicadores de calidad con oportunidad</t>
  </si>
  <si>
    <t>Incrementar a 35 el número de infraestructuras en salud modernizadas.</t>
  </si>
  <si>
    <t>Realizar el 100% de la rehabilitación de la infraestructura en salud</t>
  </si>
  <si>
    <t>Lograr el 100% de implementación de la Plataforma tecnológica de información en salud.</t>
  </si>
  <si>
    <t>Conseguir que el 100% de las PQRSD sean efectivamente atendidas, gestionadas y cerradas.</t>
  </si>
  <si>
    <t>Habilitar 2 zonas para el desarrollo urbano</t>
  </si>
  <si>
    <t>Lograr 8.000 unidades de vivienda VIS o VIP nuevas disponibles</t>
  </si>
  <si>
    <t>Lograr la viabilización de 1000 VIS-VIP</t>
  </si>
  <si>
    <t>Realizar 5 proyectos viabilizados para habilitar vivienda</t>
  </si>
  <si>
    <t>Beneficiar con vivienda de interés prioritario a 1.000 familias localizadas en zonas de riesgo no mitigable</t>
  </si>
  <si>
    <t>Atender a 88.000 personas interesadas en el acceso a vivienda VIS – VIP en el cuatrienio</t>
  </si>
  <si>
    <t>Mantener brindado acompañamiento social a los 6.112 hogares residentes en los proyectos</t>
  </si>
  <si>
    <t>Lograr la titulación de 4.000 predios adicionales</t>
  </si>
  <si>
    <t>Mejorar 6000 unidades de vivienda mediante el subsidio</t>
  </si>
  <si>
    <t>Lograr el 100% de avance del proyecto de planificación alrededor del Gran Malecón</t>
  </si>
  <si>
    <t>Aumentar a 4 barrios con planes de mejoramiento adoptados</t>
  </si>
  <si>
    <t>Lograr el 100% de avance del estudio para la nueva estratificación</t>
  </si>
  <si>
    <t>3 instrumentos nuevos de planificación gestionados</t>
  </si>
  <si>
    <t>Aumentar a 8.200 litros/segundo la capacidad de producción de agua potable</t>
  </si>
  <si>
    <t>Lograr proveer 17.500 metros cúbicos de almacenamiento del Sistema de Acueducto</t>
  </si>
  <si>
    <t>Alcanzar 2.000 hectáreas con nuevo sistema de saneamiento</t>
  </si>
  <si>
    <t>Lograr un 3.2 m3/seg. de capacidad de pretratamiento avanzado de aguas residuales</t>
  </si>
  <si>
    <t>Lograr la normalización del servicio de acueducto y alcantarillado de 3 zonas especiales</t>
  </si>
  <si>
    <t>Lograr la formulación del 100% de la estrategia para acceso a subsidios y cobertura de gas natural</t>
  </si>
  <si>
    <t>Lograr el 100% del estudio de viabilidad para la reubicación de las líneas de alta tensión y suscripción de convenios con los distribuidores de energía</t>
  </si>
  <si>
    <t>Regular 8 Km2 de área urbana con cableado regulado</t>
  </si>
  <si>
    <t>Mantener 60.000 luminarias LED en correcto funcionamiento</t>
  </si>
  <si>
    <t>Normalizar el servicio de energía eléctrica 2 zonas subnormales</t>
  </si>
  <si>
    <t>100% del subsidio entregado</t>
  </si>
  <si>
    <t>Atender anualmente a la primera infancia y a mujeres gestantes en servicios de educación inicial en el marco de la atención integral a la primera infancia y/o complementarios que lo amplíen, modifiquen o mejoren a través de terceros en el cuatrienio con 53.500 cupos en servicio de educación inicial.</t>
  </si>
  <si>
    <t>100% de la implementación del plan de acción de la política pública</t>
  </si>
  <si>
    <t>Desarrollar 10 estrategias de intervención en primera infancia relacionadas con las líneas de acción definidas Acuerdo 0019 de 2018.</t>
  </si>
  <si>
    <t>Aumentar a 11 los CDI del Distrito en funcionamiento</t>
  </si>
  <si>
    <t>Realizar anualmente 1 mesa de participación</t>
  </si>
  <si>
    <t>Lograr la implementación del 30% de la Política Pública a los Niños, Niñas y Adolescentes</t>
  </si>
  <si>
    <t>Atender anualmente a 100 niños, niñas y adolescentes que se encuentren en situación de vulnerabilidad mediante acompañamiento interdisciplinario y especializado.</t>
  </si>
  <si>
    <t>Atención al 100% de los niños, niñas y adolescentes identificados en riesgo de mendicidad, explotación laboral y /o trabajo infantil</t>
  </si>
  <si>
    <t>Atender y sensibilizar a 300 niños, niñas, adolescentes y sus núcleos familiares como sujetos de derecho anualmente</t>
  </si>
  <si>
    <t>Lograr el 100% de la implementación de las actividades de atención en el Hogar de Paso</t>
  </si>
  <si>
    <t>Atender anualmente a 800 jóvenes fortalecidos en el ámbito organizacional y de participación</t>
  </si>
  <si>
    <t>Atender anualmente a 4.000 jóvenes empoderados y con oportunidades</t>
  </si>
  <si>
    <t>200 jóvenes de la población NARP inscritos y acompañados en programas de empoderamiento juvenil</t>
  </si>
  <si>
    <t>Lograr la cualificación de 300 jóvenes en liderazgo y ciudadanía juvenil</t>
  </si>
  <si>
    <t>Atender a 2.900 jóvenes con oportunidades de acceso a servicios diferenciados</t>
  </si>
  <si>
    <t>Lograr 5 espacios de juventud creados s y/o adecuadas en operación para la atención de jóvenes</t>
  </si>
  <si>
    <t>Beneficiar a 12.000 jóvenes con el Subsidio durante el cuatrienio</t>
  </si>
  <si>
    <t>Lograr el 100% en la formulación y diseño de la política pública para el Adulto Mayor del Distrito de Barranquilla.</t>
  </si>
  <si>
    <t>Atender a 8.000 adultos mayores anualmente.</t>
  </si>
  <si>
    <t>Restablecer anualmente los derechos de 260 Adultos Mayores en condición de vulnerabilidad y/o abandono en Asilos u hogares de bienestar</t>
  </si>
  <si>
    <t>Atender anualmente a 25.000 los adultos mayores</t>
  </si>
  <si>
    <t>Construir y/o adecuar 5 nuevos centros de vida.</t>
  </si>
  <si>
    <t>Lograr que 2.000 Habitantes de calle sean atendidos y/o recuperados acumulados</t>
  </si>
  <si>
    <t>Atención al 100% de los habitantes de la calle en centro de acogida día</t>
  </si>
  <si>
    <t>Formulación e Implementación del 100% Política Pública Social Para Habitantes</t>
  </si>
  <si>
    <t>Entregar el 100% subsidios a las familias con liquidación identificadas anualmente</t>
  </si>
  <si>
    <t>Lograr el 100% de diagnóstico, diseño y formulación de la política Pública para apoyo y fortalecimiento de las familias.</t>
  </si>
  <si>
    <t>Atención al 100% de las familias vulnerables que solicitaron el auxilio funerario.</t>
  </si>
  <si>
    <t>Mantener el acompañamiento a 2.200 familias para la superación de la pobreza y condición de vulnerabilidad</t>
  </si>
  <si>
    <t>100% de mujeres y personas de la población LGBTI atendidas, asesoradas y orientadas.</t>
  </si>
  <si>
    <t>Una (1) unidad móvil en funcionamiento.</t>
  </si>
  <si>
    <t>Una (1) casa de la mujer en funcionamiento.</t>
  </si>
  <si>
    <t>32.000 personas sensibilizadas en derechos de las mujeres, equidad de género y prevención de violencia.</t>
  </si>
  <si>
    <t>2.000 hombres sensibilizados frente a las nuevas masculinidades y la prevención de violencia de género.</t>
  </si>
  <si>
    <t>4.000 jóvenes y adolescentes participando de una estrategia de equidad de género y prevención de violencia.</t>
  </si>
  <si>
    <t>2.000 mujeres formadas en el uso responsable y constructivo de las TICS y sensibilizadas en la prevención de las violencias en los entornos digitales producidos por el uso inadecuado de las TICS.</t>
  </si>
  <si>
    <t>5.000 personas sensibilizadas frente la inclusión social y el respeto de los derechos de la población LGBTI</t>
  </si>
  <si>
    <t>24 espacios o acciones de ciudad para promoción de la inclusión de mujeres al trabajo formal y sensibilizar a actores del mercado laboral.</t>
  </si>
  <si>
    <t>2.000 mujeres y personas de la población LGBTI cualificadas y fortalecidas en temas productivos y competitivos</t>
  </si>
  <si>
    <t>4.500 mujeres participando en acciones que promuevan el liderazgo y la participación social y política para la construcción de ciudadanía y sociedad.</t>
  </si>
  <si>
    <t>Lograr el 100% del diagnóstico de la población LGBTI de Barranquilla</t>
  </si>
  <si>
    <t>Lograr el 100% de la actualización del diagnóstico para la construcción de la política pública para la mujer y equidad de género</t>
  </si>
  <si>
    <t>Lograr el 100% de la actualización de la política pública para la mujer y equidad de género</t>
  </si>
  <si>
    <t>Entregar 200 ayudas</t>
  </si>
  <si>
    <t>1 comité distrital de discapacidad en funcionamiento</t>
  </si>
  <si>
    <t>Lograr el 100% del funcionamiento un call center</t>
  </si>
  <si>
    <t>Beneficiar a 80 indígenas con los programas de educación técnica, tecnológica y superior</t>
  </si>
  <si>
    <t>Realizar 20 eventos pedagógicos culturales</t>
  </si>
  <si>
    <t>Crear 2 espacios de interlocución</t>
  </si>
  <si>
    <t>Realizar anualmente una (1) campaña</t>
  </si>
  <si>
    <t>12 acciones de fortalecimiento organizativo realizadas</t>
  </si>
  <si>
    <t>4 líneas de política pública con acciones implementadas</t>
  </si>
  <si>
    <t>1 diagnóstico participativo actualizado para la población NARP</t>
  </si>
  <si>
    <t>20 procesos de recuperacion de cultura y costumbres ancestrales de la comunidad negras, afrocolombianas, raizales y palenqueras y su integración con las costumbres y cultura por medio de los procesos de industrias culturales como ferias, festividades artesanias ancestrales,
entre otras.</t>
  </si>
  <si>
    <t>Mantener la operación de un CAM</t>
  </si>
  <si>
    <t>Atender integralmente al 100% de personas migrantes, retornada, refugiada y comunidad de acogida que lo requiera</t>
  </si>
  <si>
    <t>Realizar 20 espacios de formación</t>
  </si>
  <si>
    <t>Realizar 12 jornadas de fortalecimiento institucional</t>
  </si>
  <si>
    <t>Aumentar a 1093 el número de cámaras de video para la vigilancia</t>
  </si>
  <si>
    <t>Entregar 100 dispositivos y accesorios de comunicación adicionales</t>
  </si>
  <si>
    <t>Lograr el 100% del desarrollo y puesta en marcha de la aplicación móvil</t>
  </si>
  <si>
    <t>Mantener  1  Centro Automático Despacho en operación</t>
  </si>
  <si>
    <t>Realizar la construcción de 11 equipamientos urbanos</t>
  </si>
  <si>
    <t>Realizar la adecuación de 12 equipamientos urbanos</t>
  </si>
  <si>
    <t>Mantener la operación del 100% de los equipamientos urbanos</t>
  </si>
  <si>
    <t>Lograr el 100% de la construcción del HANGAR</t>
  </si>
  <si>
    <t>Entregar 93 vehículos nuevos a la fuerza pública</t>
  </si>
  <si>
    <t>Mantenimiento y suministro de combustible al 100% de los vehículos</t>
  </si>
  <si>
    <t>Alcanzar el 100% de implementación de la estrategia basadas en CPTED</t>
  </si>
  <si>
    <t>Desarrollar 4 estrategias adicionales dirigidas a fortalecer cohesión social para la acción comunitaria en prevención</t>
  </si>
  <si>
    <t>Presentar 1 proyecto con enfoque etnico ante Ministerio del Interior para la financiación iniciativa Sacudete Crea para la comunidad Narp</t>
  </si>
  <si>
    <t>Realizar 3 estrategias nuevas para la atención a la conflictividad en población adolescente y joven</t>
  </si>
  <si>
    <t>Desarrollar 2 estrategias diferenciales para el cumplimiento de las finalidades pedagógicas y restaurativas del SPRA</t>
  </si>
  <si>
    <t>Llegar al 100% de la puesta en marcha del equipamiento urbano para la atención de SRPA</t>
  </si>
  <si>
    <t>Mantener en funcionamiento 1 UCJ</t>
  </si>
  <si>
    <t>Realizar 96 boletines del comportamiento de los homicidios y otros delitos del Distrito de Barranquilla (4 años)</t>
  </si>
  <si>
    <t>Realizar 40 infografías de temas y fechas especiales sobre el comportamiento de criminalidad y violencia en el Distrito de Barranquilla (4 años)</t>
  </si>
  <si>
    <t>Elaborar 20 boletines de temas y fechas especiales sobre el comportamiento de criminalidad y violencia en el Distrito de Barranquilla (4 años)</t>
  </si>
  <si>
    <t>Aumentar a 4 acuerdos entre los órganos de control y justicia con los órganos de la administración Distrital para el acceso de datos estadísticos del registro institucional en criminalidad y violencia (agregar 2)</t>
  </si>
  <si>
    <t>Realizar 2 Investigaciones para gestión pública en seguridad (4 años)</t>
  </si>
  <si>
    <t>Mantener los 40 espacios de coordinación activos</t>
  </si>
  <si>
    <t>Lograr el 100% en la formulación e implementación del Plan estratégico de comunicaciones para el impacto positivo en la percepción ciudadana de la gestión de la seguridad</t>
  </si>
  <si>
    <t>Mantener al 100% de los internos beneficiados con programas de resocialización</t>
  </si>
  <si>
    <t>Mantener 2 centros de rehabilitación en condiciones adecuadas</t>
  </si>
  <si>
    <t>Realizar el acompañamiento al 100% de las actividades para el proceso de reubicación</t>
  </si>
  <si>
    <t>1 nueva casa de justicia construida o remodelada</t>
  </si>
  <si>
    <t>Mantener la operación de 7 líneas estratégicas en las Casas de Justicia del Distrito.</t>
  </si>
  <si>
    <t>Mantener el 100% de las casas de justicia en operación</t>
  </si>
  <si>
    <t>Construir y dotar 5 salas de audiencia</t>
  </si>
  <si>
    <t>Dotar a 49 inspecciones de policía, corregidurías y comisarías de familia con elementos de logística.</t>
  </si>
  <si>
    <t>Aumentar a 23 las comisarías de Familia creadas y dotadas</t>
  </si>
  <si>
    <t>Lograr la implementación de 2 Plataformas tecnológicas</t>
  </si>
  <si>
    <t>Lograr la reubicación de 11 inspecciones de policía Comisarías de Familia</t>
  </si>
  <si>
    <t>Capacitar anualmente a 175 funcionarios</t>
  </si>
  <si>
    <t>Crear y dotar 2 unidades móviles</t>
  </si>
  <si>
    <t>Dotar las inspecciones de policía, corregidurías y comisarías de familia con 147 cámaras</t>
  </si>
  <si>
    <t>Atender con apoyo psicosocial al 100% de las personas que lo requieran</t>
  </si>
  <si>
    <t>Aumentar a 4 las barras caracterizadas</t>
  </si>
  <si>
    <t>Realizar 20 socializaciones en la ley del deporte</t>
  </si>
  <si>
    <t>Sensibilizar a 400 personas sobre los deberes y derechos establecidos en la Ley de Deporte</t>
  </si>
  <si>
    <t>Realizar 34 programas lúdicos y culturales</t>
  </si>
  <si>
    <t>Aumentar a 6 las iniciativas de emprendimiento aprobadas</t>
  </si>
  <si>
    <t>Poner en funcionamiento 14 cámaras de detección de rostros</t>
  </si>
  <si>
    <t>Poner en operación 40 lectores de huella</t>
  </si>
  <si>
    <t>Poner en funcionamiento 1 Centro Regional y/o puntos de atención</t>
  </si>
  <si>
    <t>Atender y orientar a 90.000 personas en el centro regional y/o punto de atención</t>
  </si>
  <si>
    <t>Desarrollar 2 procesos para la implementación de la política pública de víctimas</t>
  </si>
  <si>
    <t>Dinamizar 12 comités, subcomités y mesas de trabajo</t>
  </si>
  <si>
    <t>Desarrollar 2 procesos para el fortalecimiento institucional</t>
  </si>
  <si>
    <t>Atender a 120 personas o familias por inmediatez remitidas por el Ministerio Público y que se encuentren en alto grado de vulnerabilidad</t>
  </si>
  <si>
    <t>Atender a 60 personas o familias por transición que se encuentran en alto grado de vulnerabilidad</t>
  </si>
  <si>
    <t>Otorgar auxilios funerarios al 100% de las personas que lo solicitaron (de acuerdo con lo establecido en el art 50 de la Ley 1448)</t>
  </si>
  <si>
    <t>Brindar acompañamiento psicosocial a 300 personas por inmediatez y/o transición</t>
  </si>
  <si>
    <t>Mantener 4 procesos pedagógicos implementados para la orientación, divulgación y socialización de la Ley 1448 de 2011 a la población víctima</t>
  </si>
  <si>
    <t>Fortalecer 2 procesos de desarrollo y gestión comunitaria en las comunidades priorizadas</t>
  </si>
  <si>
    <t>Articulas 2 ofertas institucionales para los procesos de retorno y reubicación en las comunidades priorizadas</t>
  </si>
  <si>
    <t>Fortalecer a 80 líderes y multiplicadores en acciones psicosociales</t>
  </si>
  <si>
    <t>Articular 2 ofertas institucionales</t>
  </si>
  <si>
    <t>Mantener la priorización de 5 grupos poblacionales</t>
  </si>
  <si>
    <t>Atender el 100% de los casos que hayan sido remitidos para la gestión humanitaria y acompañamiento a personas en situación de amenaza a su integridad.</t>
  </si>
  <si>
    <t>Sensibilizar y fortalecer a 1000 NNAJ en pro de los derechos y deberes de las víctimas del Distrito</t>
  </si>
  <si>
    <t>Conformar 2 organizaciones juveniles de Derechos Humanos</t>
  </si>
  <si>
    <t>Realizar 4 foros o conversatorios que permitan promover la participación y el liderazgo</t>
  </si>
  <si>
    <t>Lograr la participación de 200 víctimas en espacios de divulgación y defensa de los DDHH y DIH</t>
  </si>
  <si>
    <t>Atender al 100% de la población que solicita apoyo en el programa de protección y seguridad, garantizando el derecho a la vida, la libertad e integridad</t>
  </si>
  <si>
    <t>100% estrategia para la prevención del reclutamiento forzado, uso y utilización de NNAJ: "Záfate del uso" implementada.</t>
  </si>
  <si>
    <t>4 Planes Integrales de Prevención y protección y planes de contingencia, a las violaciones de los derechos humanos e infracciones al derecho internacional humanitario, construidos, actualizados e implementados</t>
  </si>
  <si>
    <t>Vincular 10 Instituciones Educativas Distritales a la estrategia para la de la prevención del reclutamiento forzado, uso y utilización de NNAJ.</t>
  </si>
  <si>
    <t>Mantener 3 Instituciones articuladas en la estrategia de prevención del reclutamiento forzado, uso y utilización de NNAJ.</t>
  </si>
  <si>
    <t>Conseguir la participación de 600 NNAJ en la estrategia de prevención del reclutamiento forzado, uso y utilización de NNAJ.</t>
  </si>
  <si>
    <t>Conformar y dinamizar a nivel territorial 1 Comisión Intersectorial para la Prevención del Reclutamiento, Utilización y Violencia Sexual contra Niños, Niñas y Adolescentes por parte de grupos armados al margen de la ley y por grupos delictivos organizados (CIPRUNNA)</t>
  </si>
  <si>
    <t>Realizar 20 acciones que promuevan contextos para la convivencia pacífica que faciliten la reconstrucción del capital social para la reconciliación y la paz</t>
  </si>
  <si>
    <t>Realizar seguimiento y acompañamiento al 100% de las sentencias de la Corte Constitucional y/o sentencias de Restitución de Tierras en materia de reparación de víctimas del conflicto armado</t>
  </si>
  <si>
    <t>Mantener la implementación de 1 estrategia: “Métete en el cuento de la sana convivencia, la memoria y la reconciliación”</t>
  </si>
  <si>
    <t>Mantener la implementación de 1 estrategia de memoria histórica desde la casa y la plazoleta de la memoria ubicada en el Parque Universal.</t>
  </si>
  <si>
    <t>Lograr la participación de 20 Instituciones educativas en acciones pedagógicas y culturales para la difusión sobre los procesos de construcción de memoria histórica en el Distrito de Barranquilla.</t>
  </si>
  <si>
    <t>Lograr la participación de 60 en los espacios para la recuperación y fortalecimiento de saberes ancestrales.</t>
  </si>
  <si>
    <t>Realizar 40 sesiones de la Mesa Distrital de Víctimas</t>
  </si>
  <si>
    <t>Realizar una dotación anual de elementos y equipos a la Mesa Distrital de Víctimas</t>
  </si>
  <si>
    <t>Realizar 1 mantenimiento anual a las instalaciones de la Mesa Distrital de Víctimas</t>
  </si>
  <si>
    <t>Realizar dos (2) procesos de elecciones de los representantes de la Mesa Distrital de víctimas</t>
  </si>
  <si>
    <t>Beneficiar a 2000 personas beneficiadas y empoderadas con plenitud en el manejo de herramientas conceptuales en el conocimiento, protección y defensa de sus derechos y deberes.</t>
  </si>
  <si>
    <t>Fortalecer 30 organizaciones de víctimas</t>
  </si>
  <si>
    <t>Realizar 2 campañas de comunicación y medios para socializar la ley 1448.</t>
  </si>
  <si>
    <t>Lograr la reintegración y reincorporación de 80 personas que conocen y participan de la oferta institucional</t>
  </si>
  <si>
    <t>Apoyo a la iniciativa comunitaria de convivencia y reconciliación adelantadas por la ARN</t>
  </si>
  <si>
    <t>Realizar 1 evento conmemorativo anual</t>
  </si>
  <si>
    <t>Aumentar a 6 estaciones de bomberos construidas y dotadas</t>
  </si>
  <si>
    <t>Lograr la reubicación de 1 estación de bomberos</t>
  </si>
  <si>
    <t>Mantener al 100% del cuerpo de bomberos dotados</t>
  </si>
  <si>
    <t>Aumentar a 18 los vehículos para la oportuna movilización</t>
  </si>
  <si>
    <t>Mantener el 100% vehículos y motocicletas e intervenidos anualmente</t>
  </si>
  <si>
    <t>Mantener el 100% de las estaciones intervenidas anualmente</t>
  </si>
  <si>
    <t>Realizar 12 comités de DDHH</t>
  </si>
  <si>
    <t>Aprobar 10 iniciativas para fortalecer la gestión en derechos humanos</t>
  </si>
  <si>
    <t>Sensibilizar a 200 personas en los valores de la paz y el respeto de los derechos humanos</t>
  </si>
  <si>
    <t>Realizar 20 estrategias para promover los valores</t>
  </si>
  <si>
    <t>Sensibilizar a 1000 personas en valores y actitudes</t>
  </si>
  <si>
    <t>Implementar 5 acciones anuales para la prevención de la trata de personas</t>
  </si>
  <si>
    <t>Asesorar 600 negocios para aumentar su productividad</t>
  </si>
  <si>
    <t>Capacitar a 2.000 personas en competencias empresariales</t>
  </si>
  <si>
    <t>Diagnosticar 1.500 personas o empresas en competencias empresariales</t>
  </si>
  <si>
    <t>Apoyar 12 proyectos de liderazgo y economía asociativos aprobados</t>
  </si>
  <si>
    <t>4 proyectos de liderazgo y económia asociativos aprobados a comunidades NARP</t>
  </si>
  <si>
    <t>2 mecanismos de financiación implementados</t>
  </si>
  <si>
    <t>1 censo de vendedores informales, ambulantes y/o estacionarios</t>
  </si>
  <si>
    <t>2.400 unidades productivas conformadas/fortalecidas o intervenidas</t>
  </si>
  <si>
    <t>120 unidades productivas de las comunidades NARP inscritas y acompañados en programas de conformación /fortalecimiento de negocios.</t>
  </si>
  <si>
    <t>Remitir 9.622 hojas de vida a empresas</t>
  </si>
  <si>
    <t>Visitar 3.524 empresas</t>
  </si>
  <si>
    <t>Registrar 29.032 personas en el sistema de información del servicio público de empleo</t>
  </si>
  <si>
    <t>Orientar a 17.562 personas para la búsqueda efectiva de empleo</t>
  </si>
  <si>
    <t>Certificar a 9.452 personas en competencias para el trabajo</t>
  </si>
  <si>
    <t>1.500 personas formadas</t>
  </si>
  <si>
    <t>Lograr que 100 empresas estén en proceso de internacionalización</t>
  </si>
  <si>
    <t>Alcanzar el 100% de la formulación y gestión de proyecto ante la entidad competente</t>
  </si>
  <si>
    <t>Lograr el 100% de la formulación del Plan Maestro Portuario</t>
  </si>
  <si>
    <t>Lograr el 100% del cumplimiento de la estrategia Barranquilla como ciudad energética.</t>
  </si>
  <si>
    <t>Apoyar 750 oportunidades de inversión</t>
  </si>
  <si>
    <t>100% de la estructura organizacional diseñada</t>
  </si>
  <si>
    <t>100% de la estructura organizacional implementada</t>
  </si>
  <si>
    <t>1 Casa Barranquilla Implementada</t>
  </si>
  <si>
    <t>Alcanzar el 100% en el diseño y ejecución de la estrategia de promoción de la marca de la ciudad</t>
  </si>
  <si>
    <t>Brindar un (1) servicio de asistencia técnica al destino</t>
  </si>
  <si>
    <t>Realizar 10 campañas de divulgación, promoción y posicionamiento realizadas</t>
  </si>
  <si>
    <t>Lograr la gestión para una nueva sede del zoológico</t>
  </si>
  <si>
    <t>Poner en operación 1 circuito turístico</t>
  </si>
  <si>
    <t>Lograr la formulación y validación de 5 productos para la gestión turística</t>
  </si>
  <si>
    <t>1 APP creada y en funcionamiento para facilitar la identificación de la ruta turística</t>
  </si>
  <si>
    <t>1 estrategia de apoyo a fortalecer la cadena de valor TEN realizada</t>
  </si>
  <si>
    <t>Apoyar 50 eventos atraídos</t>
  </si>
  <si>
    <t>Lograr el 100% del desarrollo del evento de la Asamblea del BID</t>
  </si>
  <si>
    <t>Implementar 6 estrategias de promoción de ciencia, tecnología e innovación implementadas</t>
  </si>
  <si>
    <t>Apoyar 100 iniciativas de base tecnológica</t>
  </si>
  <si>
    <t>Lograr la operación de 1 Centro de Innovación</t>
  </si>
  <si>
    <t>Lograr el diseño de 1 Laboratorio de pruebas exportación</t>
  </si>
  <si>
    <t>Apoyar a 100 empresas con potencial de crecimiento</t>
  </si>
  <si>
    <t>Lograr el 100% del mapeo del universo de trámites que impactan en las empresas.</t>
  </si>
  <si>
    <t>Lograr la implementación del 100% de del sistema de información</t>
  </si>
  <si>
    <t>1 estudio económico realizado</t>
  </si>
  <si>
    <t>Alcanzar el 100% de la elaboración del Plan
Secretaría de Planeación</t>
  </si>
  <si>
    <t>Conseguir el 100% de la formulación y adopción de la Política de Distrital de Desarrollo Económico</t>
  </si>
  <si>
    <t>Lograr el 100% de la formulación del plan estratégico de Cultural</t>
  </si>
  <si>
    <t>Lograr el 100% de la implementación de la fase 1 del Plan Estratégico Cultural</t>
  </si>
  <si>
    <t>Articular 12 instancias de participación para validar procesos y productos culturales</t>
  </si>
  <si>
    <t>Mantener el 100% del enfoque diferencial y acción sin daño en la elección de participantes del Sistema Distrital de Cultura</t>
  </si>
  <si>
    <t>Desarrollar y operar 3 módulos de recolección y análisis de información del SIIGC</t>
  </si>
  <si>
    <t>Lograr el 100% de la puesta en marcha de Observatorio de la gestión cultural</t>
  </si>
  <si>
    <t>Beneficiar a 150.000 personas con el servicio de formación artística, creación cultural y fortalecimiento de las industrias culturales.</t>
  </si>
  <si>
    <t>Implementar 1 sistema de evaluación de la gestión y la calidad del servicio de formación artística y cultural</t>
  </si>
  <si>
    <t>Incluir 40 creadores y gestores culturales locales en procesos de formalización educativa con enfoque diferencial y acción sin daño.</t>
  </si>
  <si>
    <t>Beneficiar a 75.000 personas con el servicio público de bibliotecas.</t>
  </si>
  <si>
    <t>Lograr el 100% de la formulación del Plan Ciudadano de Lectura, Escritura y Oralidad</t>
  </si>
  <si>
    <t>Realizar en la ciudad 50 jornadas ciudadanas de compromiso con la lectura, la escritura y la oralidad.</t>
  </si>
  <si>
    <t>Beneficiar 1.400 proyectos artísticos y culturales a través del Sistema Distrital de Estímulos.</t>
  </si>
  <si>
    <t>Mantener 800.000 personas beneficiadas con la asistencia a eventos culturales y de carácter festivo y lúdico.</t>
  </si>
  <si>
    <t>Apoyar 20 iniciativas comunitarias dirigidas a la primera infancia, niños y niñas, jóvenes y adultos mayores para el arte y la cultura ciudadana</t>
  </si>
  <si>
    <t>Beneficiar con BEPS a 200 Creadores y gestores culturales</t>
  </si>
  <si>
    <t>Lograr el 100% de la formulación del Plan maestro de Infraestructura Cultural</t>
  </si>
  <si>
    <t>Lograr el 100% de la implementación de la fase 1 Plan maestro de Infraestructura Cultural</t>
  </si>
  <si>
    <t>Aumentar a 15 los inmuebles para la actividad cultural.</t>
  </si>
  <si>
    <t>Mantener el 100% de los escenarios para las artes escénicas en condiciones adecuadas</t>
  </si>
  <si>
    <t>Lograr la implementación del 100% del modelo de innovación para la gestión cultural.</t>
  </si>
  <si>
    <t>Desarrollar 3 estrategias de sostenibilidad del Área de Desarrollo Naranja -ADN y barrios creativos de la ciudad</t>
  </si>
  <si>
    <t>Fortalecer 374 emprendimientos de industrias culturales y creativas y de economía naranja</t>
  </si>
  <si>
    <t>Realizar 6 eventos de fomento al ecosistema de emprendimiento cultural de la ciudad.</t>
  </si>
  <si>
    <t>Lograr el 100% de los inventarios de patrimonio cultural material.</t>
  </si>
  <si>
    <t>Lograr el 100% de los inventarios de patrimonio cultural inmaterial</t>
  </si>
  <si>
    <t>Lograr el 100% del inventario registrado de la infraestructura cultural de la ciudad</t>
  </si>
  <si>
    <t>Declarar 20 Bienes de Interés Cultural BIC en el ámbito distrital.</t>
  </si>
  <si>
    <t>Gestionar la adopción de 2 Planes Especiales de Manejo y Protección PEMP ante el Ministerio de Cultura</t>
  </si>
  <si>
    <t>Declarar 2 Manifestaciones de Interés Cultural y manifestaciones en el ámbito distrital.</t>
  </si>
  <si>
    <t>Registrar 1 Red Distrital de Vigías del Patrimonio ante el Ministerio de Cultura</t>
  </si>
  <si>
    <t>Realizar 4 Planes divulgativos</t>
  </si>
  <si>
    <t>Formalizar 5 recorridos patrimoniales de los bienes y/o manifestaciones</t>
  </si>
  <si>
    <t>Lograr la actualización del 100% del Plan Especial de Manejo y Protección PEMP Centro</t>
  </si>
  <si>
    <t>Lograr el 100% de la formulación del Plan Especial de Manejo y Protección PEMP El Prado, Bellavista y una parte de Altos del Prado</t>
  </si>
  <si>
    <t>Lograr la revisión del 100% del Plan Especiales de Salvaguardia Carnaval de Barranquilla</t>
  </si>
  <si>
    <t>Aprobar 2 nuevos Planes Especiales de Salvaguardia -PES</t>
  </si>
  <si>
    <t>Incluir 1 componente de Gestión del Riesgo para el Patrimonio e infraestructura Cultural en el Plan Distrital de Gestión del Riesgo.</t>
  </si>
  <si>
    <t>Elaborar el 100% de la guía de actuación para la conservación y protección del patrimonio cultural</t>
  </si>
  <si>
    <t>Intervenir 12 monumentos de la ciudad</t>
  </si>
  <si>
    <t>Realizar 2 proyectos de restauración, intervención y conservación de edificaciones para actividades culturales</t>
  </si>
  <si>
    <t>Lograr el 100% de la creación de la Red Distrital de Museos</t>
  </si>
  <si>
    <t>Atender a 18.000 niños, niñas y adolescentes en el cuatrienio en las academias de formación deportiva.</t>
  </si>
  <si>
    <t>Aumentar a 22 disciplinas deportivas.</t>
  </si>
  <si>
    <t>Beneficiar a 50.000 personas en el cuatrienio en actividades de recreación y formación deportiva.</t>
  </si>
  <si>
    <t>Apoyar a 80 organizaciones deportivas en actividades de recreación y formación deportiva.</t>
  </si>
  <si>
    <t>Garantizar que en el 100% de las actividades deportivas ofrecidas se promueva la participación de género.</t>
  </si>
  <si>
    <t>Mantener la atención en el cuatrienio a 2000 personas víctimas del conflicto, afros, etnias y jóvenes con responsabilidad penal en actividades de recreación y formación deportiva.</t>
  </si>
  <si>
    <t>Lograr la participación de 40.000 en el cuatrienio estudiantes en juegos Intercolegiados.</t>
  </si>
  <si>
    <t>Lograr el 100% en la formulación y adopción de la Política Pública de Recreación y Deportes.</t>
  </si>
  <si>
    <t>Lograr el 100% de la primera etapa de la implementación de la Política Pública de Recreación y Deportes</t>
  </si>
  <si>
    <t>Capacitar a 3.500 personas en procesos de formación</t>
  </si>
  <si>
    <t>Lograr que 48.000 personas en el cuatrienio participen de las jornadas de actividades saludables</t>
  </si>
  <si>
    <t>Conseguir que 96.000 personas participen en las ciclovías en el cuatrienio</t>
  </si>
  <si>
    <t>Lograr que 90.000 niños, niñas, adolescentes, jóvenes, adultos y adultos mayores en actividades de uso del tiempo libre en el cuatrienio</t>
  </si>
  <si>
    <t>Lograr la participación de 6.000 personas con discapacidad en actividades físicas y deporte adaptado en el cuatrienio.</t>
  </si>
  <si>
    <t>Lograr que 6.400 personas con discapacidad sean beneficiadas por los semilleros deportivos en el cuatrienio.</t>
  </si>
  <si>
    <t>Capacitar a 12.800 personas del entorno de la población con discapacidad en el cuatrienio</t>
  </si>
  <si>
    <t>Mantener en óptimas condiciones 15 escenarios deportivos.</t>
  </si>
  <si>
    <t>Beneficiar a 240 atletas para mejorar sus competencias y participación en eventos deportivos en el cuatrienio.</t>
  </si>
  <si>
    <t>Apoyar a nivel técnico, logístico y operativo 40 eventos deportivos realizados en la ciudad.</t>
  </si>
  <si>
    <t>Realizar 2 postulaciones para ser sede de eventos deportivos</t>
  </si>
  <si>
    <t>Realizar monitoreo al 100% de la inversión implementada en el sistema de información de datos espaciales</t>
  </si>
  <si>
    <t>Incrementar a 70% el Índice de recaudo del impuesto predial facturado: Ingresos corrientes recaudados de IPU/ Ingresos corrientes programados a recibir de IPU</t>
  </si>
  <si>
    <t>Incrementar a 20% la recuperación de cartera</t>
  </si>
  <si>
    <t>Mantener en un 100% el pago del servicio de la deuda</t>
  </si>
  <si>
    <t>Lograr diseño e implementación de 1 alternativa</t>
  </si>
  <si>
    <t>Lograr el 100% diseño e implementación de 1 instrumento</t>
  </si>
  <si>
    <t>Consolidar una (1) base de datos con estadísticas catastrales a través de información geográfica disponible en el línea.</t>
  </si>
  <si>
    <t>Incorporar anualmente el 100% de los cambios físicos, jurídicos y económicos de los predios de la ciudad reportados a la entidad</t>
  </si>
  <si>
    <t>Actualizar el 20% del censo inmobiliario de la ciudad y su cartografía base.</t>
  </si>
  <si>
    <t>Realizar 1 Concurso de méritos para la provisión de empleos de carrera administrativa</t>
  </si>
  <si>
    <t>Mantener la implementación de 1 Plan de bienestar, capacitación y SST</t>
  </si>
  <si>
    <t>Adoptar 1 nueva estructura de la administración central y descentralizada</t>
  </si>
  <si>
    <t>Aumentar a 80% los funcionarios evaluados con calificación sobresaliente</t>
  </si>
  <si>
    <t>Alcanzar el 80% en la elaboración de las herramientas archivísticas de las entidades del Distrito de Barranquilla</t>
  </si>
  <si>
    <t>Lograr el 100% del espacio físico del archivo central adecuado de acuerdo con normas técnicas de conservación y archivísticas</t>
  </si>
  <si>
    <t>Aumentar a 8 las series documentales digitalizadas para la aplicación de la política CERO PAPEL</t>
  </si>
  <si>
    <t>Automatizar 20 trámites y procesos dentro de la estrategia CERO PAPEL</t>
  </si>
  <si>
    <t>Remodelar y adecuar 3 sedes</t>
  </si>
  <si>
    <t>Mantener el 90% de procesos fallados a favor del Distrito</t>
  </si>
  <si>
    <t>Recuperar el 100% títulos ejecutivos</t>
  </si>
  <si>
    <t>Aplicar el 100% de la nueva metodología del SISBEN</t>
  </si>
  <si>
    <t>Mantener actualizada el 100% de la base de datos</t>
  </si>
  <si>
    <t>Mantener 1 SGC implementado y certificado NTC-ISO 9001:2015</t>
  </si>
  <si>
    <t>Mantener 1 SGA implementado y certificado – ISO 14001:2015</t>
  </si>
  <si>
    <t>Aumentar a 5 los productos sustituidos o introducidos con criterios de sostenibilidad</t>
  </si>
  <si>
    <t>Implementar 1 modelo de gestión de conocimiento</t>
  </si>
  <si>
    <t>Generar 40 piezas de información o informes elaborados</t>
  </si>
  <si>
    <t>Poner en funcionamiento 5 observatorios en red.</t>
  </si>
  <si>
    <t>Realizar 2 concursos de iniciativas de innovación social</t>
  </si>
  <si>
    <t>100% Implementación de protocolo IPv6</t>
  </si>
  <si>
    <t>Tercerización al 100% de la infraestructura en un datacenter TIR4 que garantice un nivel de disponibilidad del 99%.</t>
  </si>
  <si>
    <t>Repotenciar el centro de datos con la adquisición de 4 servidores para la implementación de nuevos sistemas de información</t>
  </si>
  <si>
    <t>Migración de 4 servicios a la nube</t>
  </si>
  <si>
    <t>100% de la infraestructura operativa</t>
  </si>
  <si>
    <t>100% de los proveedores registrados con información actualizada</t>
  </si>
  <si>
    <t>Habilitar 1 enlace en la web de la Alcaldía para registrarse al SGPRO</t>
  </si>
  <si>
    <t>Lograr que el 100% de los contratistas de la entidad pertenezcan al rango establecido</t>
  </si>
  <si>
    <t>Mantener el tiempo de espera en sala en 30 min o menos</t>
  </si>
  <si>
    <t>Alcanzar el 100% de implementación de la estrategia anual de racionalización de trámites</t>
  </si>
  <si>
    <t>Aumentar a 90% el porcentaje anual de registro oportuno del fallo en el sistema</t>
  </si>
  <si>
    <t>Disminuir a 75 días Tiempo promedio anual de duración del proceso contravencional en primera instancia</t>
  </si>
  <si>
    <t>Alcanzar el 100% del plan de organización del archivo físico de los expedientes</t>
  </si>
  <si>
    <t>Digitalizar anualmente el 100% expedientes fallados en audiencia</t>
  </si>
  <si>
    <t>Mantener el 100% de cumplimiento del plan anual de recuperación de cartera</t>
  </si>
  <si>
    <t>Lograr el 100% de la estructuración del programa</t>
  </si>
  <si>
    <t>Mantener al 100% de los responsables del proceso de formalización dotados con los elementos mínimos necesarios</t>
  </si>
  <si>
    <t>Lograr la formalización de 2000 empresas</t>
  </si>
  <si>
    <t>Intervenir 3200 empresas</t>
  </si>
  <si>
    <t>Intervenir 3 zonas TEU</t>
  </si>
  <si>
    <t>Construir 116 Km de carril de infraestructura en el cuatrienio</t>
  </si>
  <si>
    <t>Recuperar 138 parques, plazas y zonas verdes</t>
  </si>
  <si>
    <t>Construir 10 parques nuevos</t>
  </si>
  <si>
    <t>Realizar mantenimiento al 100% de Parques, bulevares, plazas y zonas verdes</t>
  </si>
  <si>
    <t>Lograr el 100% del concurso para la elaboración del plan de Parque Batallón</t>
  </si>
  <si>
    <t>Mantener el 100% de parques recuperados y/o nuevos con accesibilidad para personas con dispacidad</t>
  </si>
  <si>
    <t>Lograr el 100% de la formulación del plan de mantenimiento</t>
  </si>
  <si>
    <t>1 manual de aprovechamiento de espacio público aprobado</t>
  </si>
  <si>
    <t>Alcanzar el 100% de la elaboración del manual de espacio público y paisajismo</t>
  </si>
  <si>
    <t>Realizar 4 campañas sobre normas y buen uso del espacio publico</t>
  </si>
  <si>
    <t>40.000 M2 de espacio público recuperado</t>
  </si>
  <si>
    <t>Construir 2.8 KM nuevos del Gran Malecón del Río</t>
  </si>
  <si>
    <t>Mantener al 100% la ejecución del proyecto de mobiliario urbano</t>
  </si>
  <si>
    <t>Renovar 2 mercados públicos</t>
  </si>
  <si>
    <t>Beneficiar a 500 personas</t>
  </si>
  <si>
    <t>Beneficiar a 1000 vendedores informales</t>
  </si>
  <si>
    <t>Tener el 100% del diagnóstico de desplazamiento</t>
  </si>
  <si>
    <t>Adecuar 1 zona para mercado satélite</t>
  </si>
  <si>
    <t>30.000 metros cuadrados de espacio público intervenido</t>
  </si>
  <si>
    <t>Lograr el 100% del diagnóstico de adecuación</t>
  </si>
  <si>
    <t>Lograr el 100% del edificio remodelado</t>
  </si>
  <si>
    <t>Mantener el 100% de la ejecución del plan de comunicaciones</t>
  </si>
  <si>
    <t>Realizar 16 publicaciones sobre promoción de ciudad</t>
  </si>
  <si>
    <t>Mantener 6 oferentes promedio en los procesos de contratación</t>
  </si>
  <si>
    <t>Publicar el 100% de las convocatorias en la página web de los procesos de selección</t>
  </si>
  <si>
    <t>Aumentar a 98% las PQRSD respondidas</t>
  </si>
  <si>
    <t>Poner en funcionamiento 2 puntos nuevos de atención</t>
  </si>
  <si>
    <t>Habilitar 3 canales institucionales para la radicación de PQRSD</t>
  </si>
  <si>
    <t>80 trámites u OPAS racionalizados</t>
  </si>
  <si>
    <t>Realizar anualmente 4 campañas</t>
  </si>
  <si>
    <t>Lograr la consolidación de bases de datos de tres (3) dependencias estructurada e integrada por catastro, preservando el valor de los datos de forma clara y de fácil acceso</t>
  </si>
  <si>
    <t>Mantener la actualización del 100% de los indicadores sectoriales en la plataforma virtual</t>
  </si>
  <si>
    <t>Lograr el 100% de la articulación del sistema de información</t>
  </si>
  <si>
    <t>Aumentar a 76 el número de trámites y servicios en línea</t>
  </si>
  <si>
    <t>10 bases de datos unificados</t>
  </si>
  <si>
    <t>Dos (2) Servicios con entes externos interoperando con la plataforma desarrollada para la consulta al ciudadano</t>
  </si>
  <si>
    <t>2 acuerdo de voluntades firmado</t>
  </si>
  <si>
    <t>100% de la Gestión realizada para el aumento de la cobertura de Internet fibra óptica, conectividad y data center</t>
  </si>
  <si>
    <t>Lograr la habilitación del 100% del instrumento virtual de votación</t>
  </si>
  <si>
    <t>Mantener las capacitaciones anuales a 5 JAL</t>
  </si>
  <si>
    <t>Capacitar 150 organizaciones sociales, comunitarias y nuevas expresiones</t>
  </si>
  <si>
    <t>Lograr el 100% de la creación de la política pública</t>
  </si>
  <si>
    <t>Realizar 4 procesos de promoción de jueces de paz.</t>
  </si>
  <si>
    <t>Realizar 10 intervenciones de la estrategia “mi barrio imparable”</t>
  </si>
  <si>
    <t>Crear 25 comités locales de parque</t>
  </si>
  <si>
    <t>Lograr la participación de 100 actores que firmen el pacto</t>
  </si>
  <si>
    <t>Lograr el 100% en la creación de plataforma de voluntariado y capital social</t>
  </si>
  <si>
    <t>Lograr el 100% de la creación y ejecución de una ruta para la sensibilización y formación de los ciudadanos con iniciativas sociales de cara a la plataforma de voluntariado y capital social</t>
  </si>
  <si>
    <t>Realizar 50 charlas</t>
  </si>
  <si>
    <t>Realizar mantenimiento a 67 Km de malla vial</t>
  </si>
  <si>
    <t>Alcanzar el 100% en la formulación del plan malla vial</t>
  </si>
  <si>
    <t>Mantener el 100% de cumplimiento del plan anual de control operativo de tránsito</t>
  </si>
  <si>
    <t>Alcanzar el 100% del diseño e implementación del centro de monitoreo y gestión de tránsito.</t>
  </si>
  <si>
    <t>Lograr el 100% de la actualización y adopción del PMM</t>
  </si>
  <si>
    <t>Alcanzar el 100% de la elaboración de los estudios técnicos</t>
  </si>
  <si>
    <t>Realizar 20 microintervenciones anuales</t>
  </si>
  <si>
    <t>Semaforizar 30 nuevas intersecciones</t>
  </si>
  <si>
    <t>Mantener y/o implementar 50 zonas escolares señalizadas</t>
  </si>
  <si>
    <t>Realizar la demarcación de 50.000 metros lineales de demarcación</t>
  </si>
  <si>
    <t>Instalar 2.000 señales verticales instaladas</t>
  </si>
  <si>
    <t>Señalizar y demarcar 5 kilómetros de bicicarriles nuevos</t>
  </si>
  <si>
    <t>Implementar 4 Km de carriles preferenciales</t>
  </si>
  <si>
    <t>Mantener la ejecución del 100% del cronograma de seguimiento a los Planes Estratégicos de Seguridad Vial de las empresas</t>
  </si>
  <si>
    <t>Alcanzar la habilitación del 100% del sistema de administración de parqueaderos habilitado</t>
  </si>
  <si>
    <t>Aumentar a 40% el porcentaje de la población de Barranquilla sensibilizada en movilidad segura</t>
  </si>
  <si>
    <t>Alcanzar el 100% en la reglamentación de un sistema de incentivos para entidades, organizaciones o empresas que demuestren compromiso con seguridad vial</t>
  </si>
  <si>
    <t>Lograr la ejecución del 100% del plan de acción conjunto con instituciones de educación superior y organizaciones de expertos en cultura ciudadana para la movilidad</t>
  </si>
  <si>
    <t>Lograr el 100% de la creación de una aplicación móvil para la educación vial creada.</t>
  </si>
  <si>
    <t>Capacitar a 3.000 personas con discapacidad en materia de respeto a las normas de tránsito y autocuidado en las vías del Distrito</t>
  </si>
  <si>
    <t>Sensibilizar a 1.000 conductores en el respeto a las zonas preferenciales y/o exclusivas para el estacionamiento o tránsito de los actores viales con discapacidad</t>
  </si>
  <si>
    <t>Sensibilizar a 2.000 conductores de servicio de transporte público individual, colectivo y masivo en el trato digno al pasajero con discapacidad</t>
  </si>
  <si>
    <t>Realizar 44 ciclopaseos</t>
  </si>
  <si>
    <t>Realizar 8 ciclovías</t>
  </si>
  <si>
    <t>Implementar en 50 Instituciones educativas del Distrito la estrategia de la Escuela de la bici</t>
  </si>
  <si>
    <t>Cumplir con el 100% del acompañamiento necesario para impulsar la gestión del proyecto</t>
  </si>
  <si>
    <t>Revisar y aceptar dos informes de seguimiento aceptados anualmente</t>
  </si>
  <si>
    <t>Lograr el 100% de cumplimiento al acompañamiento necesario para la chatarrización</t>
  </si>
  <si>
    <t>Solicitar al AMB 8 informes de avance</t>
  </si>
  <si>
    <t>2 escenarios de acompañamiento propiciados</t>
  </si>
  <si>
    <t>10 escenarios d acompañamiento propiciados</t>
  </si>
  <si>
    <t>5 presentaciones a empresas interesadas en desarrollar el proyecto</t>
  </si>
  <si>
    <t>100% de acompañamiento a la gestión para el dragado del canal de acceso al río magdalena</t>
  </si>
  <si>
    <t>Alcanzar el 100% de construcción de la infraestructura del muelle embarcadero parque isla Salamanca</t>
  </si>
  <si>
    <t>Lograr el 100% de la formulación del plan de recuperación y saneamiento de la Ciénaga de Mallorquín</t>
  </si>
  <si>
    <t>Implementar el 100% del plan de recuperación y saneamiento de la Ciénaga de Mallorquín</t>
  </si>
  <si>
    <t>Construir 39.000 metros cuadrados (5km lineales)de senderos ecoturísticos</t>
  </si>
  <si>
    <t>Consolidar el 100% de la infraestructura para el turismo</t>
  </si>
  <si>
    <t>Recuperación del 100&amp; de las playas de Puerto Mocho</t>
  </si>
  <si>
    <t>Genera y preservar 280.000 m2 de bosques urbanos</t>
  </si>
  <si>
    <t>Alcanzar el 100% en la elaboración de la Política de sostenibilidad ambiental</t>
  </si>
  <si>
    <t>Aumentar en 150.000 el número de árboles sembrados o resembrados</t>
  </si>
  <si>
    <t>Construir 2,4 hectáreas de parques lineales</t>
  </si>
  <si>
    <t>Formular 3 planes de ordenamiento del recurso hídrico formulado</t>
  </si>
  <si>
    <t>Realizar 8 campañas de conciencia ambiental a los cuerpos de agua</t>
  </si>
  <si>
    <t>1 red Distrital de Monitoreo del Recurso Hídrico conformada</t>
  </si>
  <si>
    <t>Alcanzar el 100% de la elaboración del Plan maestro</t>
  </si>
  <si>
    <t>Aumentar a 9.000 metros lineales canalizados</t>
  </si>
  <si>
    <t>Lograr la formulación del 100% del estudio de transición energética a energías renovables en entidades públicas distritales</t>
  </si>
  <si>
    <t>Lograr el 100% en la creación de una empresa de servicio público solar</t>
  </si>
  <si>
    <t>Construcción del 100% de instalación de páneles solares en instituciones públicas</t>
  </si>
  <si>
    <t>25 empresas con operarios capacitados en el manejo de equipos de combustión</t>
  </si>
  <si>
    <t>Aumentar a 5 estaciones de monitoreo del aire</t>
  </si>
  <si>
    <t>Lograr la elaboración del 100% del Plan de descontaminación de ruido</t>
  </si>
  <si>
    <t>Lograr el 100% del inventario de fuentes móviles y fijas</t>
  </si>
  <si>
    <t>Lograr determinar el 100% de huella de carbono para el sector industrial en el Distrito</t>
  </si>
  <si>
    <t>Realizar 4 campañas educativas</t>
  </si>
  <si>
    <t>Actualizar el 100% del PGIRS 100%</t>
  </si>
  <si>
    <t>Realizar 10 campañas de sensibilización realizadas a las asociaciones de recicladores</t>
  </si>
  <si>
    <t>Actualizar en un 100% el censo de recicladores</t>
  </si>
  <si>
    <t>Caracterizar el 100% de los residuos sólidos del Distrito</t>
  </si>
  <si>
    <t>Realizar 6 campañas para generar conciencia y de pertenencia y cuidado del entorno público y privado realizadas</t>
  </si>
  <si>
    <t>100% de la gestión realizada</t>
  </si>
  <si>
    <t>Realizar 8 vigilancias de residuos sólidos de materia orgánica</t>
  </si>
  <si>
    <t>Lograr el 100% en la creación y dotación de un centro de bienestar para animales domésticos 100%</t>
  </si>
  <si>
    <t>Atender al 100% de mascotas, caninos, felinos y equinos que lo requieran</t>
  </si>
  <si>
    <t>Lograr el 100% en la creación y dotación d 100 de una unidad - centro de atención para animales silvestres</t>
  </si>
  <si>
    <t>Aumentar a 9 el número de patrullas de reacción inmediata animal en funcionamiento</t>
  </si>
  <si>
    <t>Realizar 40 charlas educativas y pedagógicas</t>
  </si>
  <si>
    <t>Formular el 100% del Estudio de riesgos hidrometereológicos Barranquilla.</t>
  </si>
  <si>
    <t>Formular el 100% del Estudio de Microzonificación sísmica</t>
  </si>
  <si>
    <t>Formular el 100% del diagnóstico hidrodinámico y análisis del riesgo de contaminantes mediante trazadores n el Rio Magdalena, entre km 0 al 33.</t>
  </si>
  <si>
    <t>Lograr el 100% de la adecuación del centro de monitoreo y/u observatorio</t>
  </si>
  <si>
    <t>Lograr el 100% de la dotación necesaria del centro de monitoreo y/u observatorio</t>
  </si>
  <si>
    <t>Lograr el 100% de la implementación del Sistema de Información de Gestión del Riesgo.</t>
  </si>
  <si>
    <t>Realizar 9 campañas de comunicación masiva para promover la conciencia sobre el Riesgo de Desastres</t>
  </si>
  <si>
    <t>Lograr el 100% del estudio de adaptación y mitigación al cambio climático en el Distrito de Barranquilla</t>
  </si>
  <si>
    <t>Atención humanitaria oportuna al 100% de la población afectada por eventos de emergencia y/o desastre censada.</t>
  </si>
  <si>
    <t>Lograr el 100% de la habilitación de un centro de acopio habilitado</t>
  </si>
  <si>
    <t>Adquirir el 100% de la Adquisición de maquinaria, herramientas, equipos e insumos logísticos para atención de emergencias.</t>
  </si>
  <si>
    <t>Entregar dotaciones a los 5 consejos de Gestión del Riesgo</t>
  </si>
  <si>
    <t>Formar 3000 líderes institucionales y comunitarios en Gestión del Riesgo.</t>
  </si>
  <si>
    <t>Incremento (Linea Base)</t>
  </si>
  <si>
    <t>Reducción (Linea Base)</t>
  </si>
  <si>
    <t>Acumulado</t>
  </si>
  <si>
    <t>No acumulado</t>
  </si>
  <si>
    <t>Tipo de medición</t>
  </si>
  <si>
    <t>Porcentaje</t>
  </si>
  <si>
    <t>Número</t>
  </si>
  <si>
    <t>Kilometros</t>
  </si>
  <si>
    <t>número</t>
  </si>
  <si>
    <t>Minutos</t>
  </si>
  <si>
    <t>Metros Cuadrados</t>
  </si>
  <si>
    <t>Unidad de Medida del Indicador</t>
  </si>
  <si>
    <t>Litros/Segundo</t>
  </si>
  <si>
    <t>Metros Cúbicos</t>
  </si>
  <si>
    <t>Hectareas</t>
  </si>
  <si>
    <t>Metros Cúbicos / Segundo</t>
  </si>
  <si>
    <t>Número de Luminarias LED</t>
  </si>
  <si>
    <t>Zonas</t>
  </si>
  <si>
    <t>Unidades</t>
  </si>
  <si>
    <t>Número de Microintervenciones</t>
  </si>
  <si>
    <t>Metros Lineales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</si>
</sst>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3" formatCode="_-* #,##0.00_-;\-* #,##0.00_-;_-* &quot;-&quot;??_-;_-@_-"/>
    <numFmt numFmtId="164" formatCode="_-* #,##0.0_-;\-* #,##0.0_-;_-* &quot;-&quot;_-;_-@_-"/>
    <numFmt numFmtId="165" formatCode="0.0%"/>
    <numFmt numFmtId="166" formatCode="_-* #,##0_-;\-* #,##0_-;_-* &quot;-&quot;??_-;_-@_-"/>
    <numFmt numFmtId="167" formatCode="&quot;$&quot;#,##0"/>
  </numFmts>
  <fonts count="20" x14ac:knownFonts="1">
    <font>
      <sz val="11"/>
      <color theme="1"/>
      <name val="Calibri"/>
      <family val="2"/>
      <scheme val="minor"/>
    </font>
    <font>
      <sz val="11"/>
      <color theme="1"/>
      <name val="Calibri"/>
      <family val="2"/>
      <scheme val="minor"/>
    </font>
    <font>
      <sz val="12"/>
      <color theme="1"/>
      <name val="Bookman Old Style"/>
      <family val="1"/>
    </font>
    <font>
      <b/>
      <sz val="12"/>
      <color theme="1"/>
      <name val="Bookman Old Style"/>
      <family val="1"/>
    </font>
    <font>
      <sz val="12"/>
      <color theme="0"/>
      <name val="Bookman Old Style"/>
      <family val="1"/>
    </font>
    <font>
      <sz val="12"/>
      <color rgb="FF404040"/>
      <name val="Bookman Old Style"/>
      <family val="1"/>
    </font>
    <font>
      <sz val="12"/>
      <name val="Bookman Old Style"/>
      <family val="1"/>
    </font>
    <font>
      <sz val="10"/>
      <color rgb="FF000000"/>
      <name val="Calibri"/>
      <family val="2"/>
      <scheme val="minor"/>
    </font>
    <font>
      <sz val="10"/>
      <color theme="1"/>
      <name val="Calibri"/>
      <family val="2"/>
      <scheme val="minor"/>
    </font>
    <font>
      <sz val="10"/>
      <name val="Calibri"/>
      <family val="2"/>
      <scheme val="minor"/>
    </font>
    <font>
      <sz val="12"/>
      <color theme="1"/>
      <name val="Arial"/>
      <family val="2"/>
    </font>
    <font>
      <sz val="9"/>
      <color indexed="81"/>
      <name val="Tahoma"/>
      <family val="2"/>
    </font>
    <font>
      <b/>
      <sz val="9"/>
      <color indexed="81"/>
      <name val="Tahoma"/>
      <family val="2"/>
    </font>
    <font>
      <sz val="12"/>
      <color theme="1"/>
      <name val="Arial Narrow"/>
      <family val="2"/>
    </font>
    <font>
      <b/>
      <sz val="12"/>
      <color theme="1"/>
      <name val="Arial Narrow"/>
      <family val="2"/>
    </font>
    <font>
      <b/>
      <sz val="14"/>
      <color theme="1"/>
      <name val="Calibri"/>
      <family val="2"/>
      <scheme val="minor"/>
    </font>
    <font>
      <b/>
      <sz val="12"/>
      <color theme="0"/>
      <name val="Bookman Old Style"/>
      <family val="1"/>
    </font>
    <font>
      <sz val="10"/>
      <color theme="1"/>
      <name val="Bookman Old Style"/>
      <family val="1"/>
    </font>
    <font>
      <sz val="12"/>
      <color rgb="FF000000"/>
      <name val="Bookman Old Style"/>
      <family val="1"/>
    </font>
    <font>
      <sz val="11"/>
      <color theme="1"/>
      <name val="Bookman Old Style"/>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bgColor indexed="64"/>
      </patternFill>
    </fill>
    <fill>
      <patternFill patternType="solid">
        <fgColor theme="7" tint="0.39997558519241921"/>
        <bgColor indexed="64"/>
      </patternFill>
    </fill>
    <fill>
      <patternFill patternType="solid">
        <fgColor rgb="FFFFFFCC"/>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bgColor indexed="64"/>
      </patternFill>
    </fill>
    <fill>
      <patternFill patternType="solid">
        <fgColor theme="2" tint="-9.9978637043366805E-2"/>
        <bgColor indexed="64"/>
      </patternFill>
    </fill>
    <fill>
      <patternFill patternType="solid">
        <fgColor rgb="FFF8F8F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auto="1"/>
      </top>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2">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8">
    <xf numFmtId="0" fontId="0" fillId="0" borderId="0" xfId="0"/>
    <xf numFmtId="0" fontId="2" fillId="0" borderId="7" xfId="0" applyFont="1" applyBorder="1"/>
    <xf numFmtId="0" fontId="2" fillId="0" borderId="9" xfId="0" applyFont="1" applyBorder="1"/>
    <xf numFmtId="0" fontId="2" fillId="7" borderId="6" xfId="0" applyFont="1" applyFill="1" applyBorder="1"/>
    <xf numFmtId="0" fontId="2" fillId="2" borderId="0" xfId="0" applyFont="1" applyFill="1" applyBorder="1"/>
    <xf numFmtId="0" fontId="2" fillId="0" borderId="0" xfId="0" applyFont="1" applyBorder="1"/>
    <xf numFmtId="0" fontId="2" fillId="7" borderId="10" xfId="0" applyFont="1" applyFill="1" applyBorder="1"/>
    <xf numFmtId="0" fontId="2" fillId="0" borderId="8" xfId="0" applyFont="1" applyBorder="1"/>
    <xf numFmtId="0" fontId="2" fillId="0" borderId="6" xfId="0" applyFont="1" applyBorder="1"/>
    <xf numFmtId="0" fontId="2" fillId="0" borderId="0" xfId="0" applyFont="1" applyBorder="1" applyAlignment="1">
      <alignment horizontal="center" vertical="center" wrapText="1"/>
    </xf>
    <xf numFmtId="0" fontId="4" fillId="4" borderId="0" xfId="0" applyFont="1" applyFill="1"/>
    <xf numFmtId="0" fontId="2" fillId="3" borderId="4" xfId="0" applyFont="1" applyFill="1" applyBorder="1"/>
    <xf numFmtId="0" fontId="2" fillId="0" borderId="0" xfId="0" applyFont="1" applyBorder="1" applyAlignment="1">
      <alignment horizontal="left" vertical="center" wrapText="1" indent="1"/>
    </xf>
    <xf numFmtId="0" fontId="2" fillId="0" borderId="0" xfId="0" applyFont="1"/>
    <xf numFmtId="0" fontId="2" fillId="6" borderId="0" xfId="0" applyFont="1" applyFill="1" applyBorder="1" applyAlignment="1">
      <alignment horizontal="left" vertical="center" wrapText="1" indent="1"/>
    </xf>
    <xf numFmtId="0" fontId="2" fillId="2" borderId="6" xfId="0" applyFont="1" applyFill="1" applyBorder="1"/>
    <xf numFmtId="0" fontId="2" fillId="6" borderId="6" xfId="0" applyFont="1" applyFill="1" applyBorder="1" applyAlignment="1">
      <alignment horizontal="left" vertical="center" wrapText="1" indent="1"/>
    </xf>
    <xf numFmtId="0" fontId="2" fillId="6" borderId="6" xfId="0" applyFont="1" applyFill="1" applyBorder="1"/>
    <xf numFmtId="0" fontId="2" fillId="0" borderId="6"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xf numFmtId="0" fontId="2" fillId="6" borderId="9" xfId="0" applyFont="1" applyFill="1" applyBorder="1" applyAlignment="1">
      <alignment horizontal="left" vertical="center" wrapText="1" indent="1"/>
    </xf>
    <xf numFmtId="0" fontId="2" fillId="6" borderId="10" xfId="0" applyFont="1" applyFill="1" applyBorder="1"/>
    <xf numFmtId="0" fontId="2" fillId="4" borderId="0" xfId="0" applyFont="1" applyFill="1"/>
    <xf numFmtId="0" fontId="2" fillId="2" borderId="10" xfId="0" applyFont="1" applyFill="1" applyBorder="1"/>
    <xf numFmtId="0" fontId="2" fillId="5" borderId="3" xfId="0" applyFont="1" applyFill="1" applyBorder="1"/>
    <xf numFmtId="0" fontId="2" fillId="0" borderId="10" xfId="0" applyFont="1" applyBorder="1" applyAlignment="1">
      <alignment horizontal="left" vertical="center" wrapText="1" indent="1"/>
    </xf>
    <xf numFmtId="0" fontId="2" fillId="2" borderId="9" xfId="0" applyFont="1" applyFill="1" applyBorder="1"/>
    <xf numFmtId="0" fontId="2" fillId="7" borderId="9" xfId="0" applyFont="1" applyFill="1" applyBorder="1"/>
    <xf numFmtId="0" fontId="2" fillId="7" borderId="0" xfId="0" applyFont="1" applyFill="1" applyBorder="1"/>
    <xf numFmtId="0" fontId="6" fillId="5" borderId="3" xfId="0" applyFont="1" applyFill="1" applyBorder="1"/>
    <xf numFmtId="0" fontId="2" fillId="6" borderId="0" xfId="0" applyFont="1" applyFill="1" applyBorder="1"/>
    <xf numFmtId="0" fontId="2" fillId="2" borderId="0" xfId="0" applyFont="1" applyFill="1"/>
    <xf numFmtId="0" fontId="4" fillId="2" borderId="0" xfId="0" applyFont="1" applyFill="1"/>
    <xf numFmtId="0" fontId="6" fillId="2" borderId="3" xfId="0" applyFont="1" applyFill="1" applyBorder="1"/>
    <xf numFmtId="0" fontId="2" fillId="2" borderId="3" xfId="0" applyFont="1" applyFill="1" applyBorder="1"/>
    <xf numFmtId="0" fontId="2" fillId="2" borderId="4" xfId="0" applyFont="1" applyFill="1" applyBorder="1"/>
    <xf numFmtId="0" fontId="2" fillId="2" borderId="8" xfId="0" applyFont="1" applyFill="1" applyBorder="1"/>
    <xf numFmtId="0" fontId="2" fillId="2" borderId="6"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8" borderId="0" xfId="0" applyFont="1" applyFill="1"/>
    <xf numFmtId="0" fontId="2" fillId="2" borderId="1" xfId="0" applyFont="1" applyFill="1" applyBorder="1" applyAlignment="1">
      <alignment horizontal="justify" vertical="center" wrapText="1"/>
    </xf>
    <xf numFmtId="9" fontId="2" fillId="2" borderId="1" xfId="0" applyNumberFormat="1" applyFont="1" applyFill="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Fill="1" applyBorder="1" applyAlignment="1">
      <alignment horizontal="justify" vertical="center"/>
    </xf>
    <xf numFmtId="0" fontId="5" fillId="2" borderId="1" xfId="0" applyFont="1" applyFill="1" applyBorder="1" applyAlignment="1">
      <alignment horizontal="justify" vertical="center" wrapText="1"/>
    </xf>
    <xf numFmtId="9" fontId="6" fillId="2" borderId="1"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9" fontId="2" fillId="2" borderId="0" xfId="0" applyNumberFormat="1" applyFont="1" applyFill="1" applyBorder="1" applyAlignment="1">
      <alignment horizontal="justify" vertical="center" wrapText="1"/>
    </xf>
    <xf numFmtId="9" fontId="6" fillId="2" borderId="0" xfId="0" applyNumberFormat="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2" borderId="15" xfId="0" applyFont="1" applyFill="1" applyBorder="1" applyAlignment="1">
      <alignment horizontal="center" vertical="center" wrapText="1"/>
    </xf>
    <xf numFmtId="0" fontId="2" fillId="0" borderId="1" xfId="0" applyFont="1" applyFill="1" applyBorder="1" applyAlignment="1">
      <alignment horizontal="left" vertical="top" wrapText="1"/>
    </xf>
    <xf numFmtId="167" fontId="2" fillId="2" borderId="1" xfId="0" applyNumberFormat="1" applyFont="1" applyFill="1" applyBorder="1"/>
    <xf numFmtId="0" fontId="2" fillId="0" borderId="1" xfId="0" applyFont="1" applyFill="1" applyBorder="1" applyAlignment="1">
      <alignment vertical="center" wrapText="1"/>
    </xf>
    <xf numFmtId="9" fontId="2" fillId="0" borderId="1" xfId="0" applyNumberFormat="1" applyFont="1" applyFill="1" applyBorder="1" applyAlignment="1">
      <alignment vertical="center" wrapText="1"/>
    </xf>
    <xf numFmtId="0" fontId="2" fillId="0" borderId="11" xfId="0" applyFont="1" applyFill="1" applyBorder="1" applyAlignment="1">
      <alignment vertical="center" wrapText="1"/>
    </xf>
    <xf numFmtId="167" fontId="2" fillId="0" borderId="5" xfId="0" applyNumberFormat="1" applyFont="1" applyFill="1" applyBorder="1" applyAlignment="1">
      <alignment horizontal="right" vertical="center" wrapText="1"/>
    </xf>
    <xf numFmtId="167" fontId="2" fillId="0" borderId="5" xfId="0" applyNumberFormat="1" applyFont="1" applyBorder="1" applyAlignment="1">
      <alignment horizontal="right" vertical="center" wrapText="1"/>
    </xf>
    <xf numFmtId="167" fontId="2" fillId="0" borderId="1" xfId="0" applyNumberFormat="1" applyFont="1" applyBorder="1" applyAlignment="1">
      <alignment horizontal="right" vertical="center" wrapText="1"/>
    </xf>
    <xf numFmtId="167" fontId="2" fillId="0" borderId="16" xfId="0" applyNumberFormat="1" applyFont="1" applyBorder="1" applyAlignment="1">
      <alignment horizontal="right" vertical="center" wrapText="1"/>
    </xf>
    <xf numFmtId="167" fontId="2" fillId="0" borderId="21" xfId="0" applyNumberFormat="1" applyFont="1" applyBorder="1" applyAlignment="1">
      <alignment horizontal="right" vertical="center" wrapText="1"/>
    </xf>
    <xf numFmtId="167" fontId="2" fillId="0" borderId="4" xfId="0" applyNumberFormat="1" applyFont="1" applyBorder="1" applyAlignment="1">
      <alignment horizontal="right" vertical="center" wrapText="1"/>
    </xf>
    <xf numFmtId="3"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0" fontId="2" fillId="0" borderId="11" xfId="0" applyFont="1" applyFill="1" applyBorder="1" applyAlignment="1">
      <alignment horizontal="left" vertical="top" wrapText="1"/>
    </xf>
    <xf numFmtId="0" fontId="5" fillId="0" borderId="1" xfId="0" applyFont="1" applyFill="1" applyBorder="1" applyAlignment="1">
      <alignment vertical="top" wrapText="1"/>
    </xf>
    <xf numFmtId="166" fontId="2" fillId="0" borderId="1" xfId="3" applyNumberFormat="1" applyFont="1" applyFill="1" applyBorder="1" applyAlignment="1">
      <alignment horizontal="center" vertical="center" wrapText="1"/>
    </xf>
    <xf numFmtId="9" fontId="2" fillId="0" borderId="11" xfId="0" applyNumberFormat="1" applyFont="1" applyFill="1" applyBorder="1" applyAlignment="1">
      <alignment horizontal="left" vertical="top" wrapText="1"/>
    </xf>
    <xf numFmtId="10" fontId="2" fillId="0" borderId="1" xfId="0" applyNumberFormat="1" applyFont="1" applyFill="1" applyBorder="1" applyAlignment="1">
      <alignment vertical="top" wrapText="1"/>
    </xf>
    <xf numFmtId="0" fontId="2" fillId="0" borderId="11" xfId="0" applyFont="1" applyFill="1" applyBorder="1" applyAlignment="1">
      <alignment horizontal="left" vertical="top" wrapText="1" indent="1"/>
    </xf>
    <xf numFmtId="0" fontId="2" fillId="0" borderId="11" xfId="0" applyFont="1" applyFill="1" applyBorder="1" applyAlignment="1">
      <alignment horizontal="left" vertical="center" wrapText="1" indent="1"/>
    </xf>
    <xf numFmtId="0" fontId="2" fillId="0" borderId="11" xfId="0" applyFont="1" applyFill="1" applyBorder="1" applyAlignment="1">
      <alignment horizontal="right" vertical="top" wrapText="1" indent="1"/>
    </xf>
    <xf numFmtId="9" fontId="2" fillId="0" borderId="11" xfId="0" applyNumberFormat="1" applyFont="1" applyFill="1" applyBorder="1" applyAlignment="1">
      <alignment horizontal="right" vertical="top" wrapText="1" indent="1"/>
    </xf>
    <xf numFmtId="167" fontId="2" fillId="11" borderId="5" xfId="0" applyNumberFormat="1" applyFont="1" applyFill="1" applyBorder="1" applyAlignment="1">
      <alignment horizontal="right" vertical="center" wrapText="1"/>
    </xf>
    <xf numFmtId="43" fontId="2" fillId="0" borderId="1" xfId="3" applyFont="1" applyFill="1" applyBorder="1" applyAlignment="1">
      <alignment horizontal="center" vertical="center" wrapText="1"/>
    </xf>
    <xf numFmtId="9" fontId="2" fillId="0" borderId="11" xfId="0" applyNumberFormat="1" applyFont="1" applyFill="1" applyBorder="1" applyAlignment="1">
      <alignment horizontal="left" vertical="top" wrapText="1" inden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right" vertical="top" wrapText="1" indent="1"/>
    </xf>
    <xf numFmtId="0" fontId="2" fillId="0" borderId="11" xfId="0" applyFont="1" applyFill="1" applyBorder="1" applyAlignment="1">
      <alignment horizontal="center" vertical="center" wrapText="1"/>
    </xf>
    <xf numFmtId="41" fontId="2" fillId="0" borderId="1" xfId="1" applyFont="1" applyFill="1" applyBorder="1" applyAlignment="1">
      <alignment horizontal="left" vertical="top" wrapText="1" indent="1"/>
    </xf>
    <xf numFmtId="10" fontId="2" fillId="0" borderId="1" xfId="0" applyNumberFormat="1" applyFont="1" applyFill="1" applyBorder="1" applyAlignment="1">
      <alignment horizontal="left" vertical="top" wrapText="1" indent="1"/>
    </xf>
    <xf numFmtId="9" fontId="2" fillId="0" borderId="1" xfId="0" applyNumberFormat="1" applyFont="1" applyFill="1" applyBorder="1" applyAlignment="1">
      <alignment horizontal="left" vertical="top" wrapText="1" indent="1"/>
    </xf>
    <xf numFmtId="167" fontId="2" fillId="2" borderId="16" xfId="0" applyNumberFormat="1" applyFont="1" applyFill="1" applyBorder="1" applyAlignment="1">
      <alignment horizontal="right" vertical="center" wrapText="1"/>
    </xf>
    <xf numFmtId="0" fontId="2" fillId="0" borderId="1" xfId="0" applyNumberFormat="1" applyFont="1" applyFill="1" applyBorder="1" applyAlignment="1">
      <alignment vertical="center" wrapText="1"/>
    </xf>
    <xf numFmtId="167" fontId="2" fillId="0" borderId="16" xfId="0" applyNumberFormat="1" applyFont="1" applyFill="1" applyBorder="1" applyAlignment="1">
      <alignment horizontal="right" vertical="center" wrapText="1"/>
    </xf>
    <xf numFmtId="164" fontId="2" fillId="0" borderId="11" xfId="1" applyNumberFormat="1" applyFont="1" applyFill="1" applyBorder="1" applyAlignment="1">
      <alignment horizontal="left" vertical="top" wrapText="1"/>
    </xf>
    <xf numFmtId="10" fontId="2" fillId="0" borderId="1" xfId="0" applyNumberFormat="1" applyFont="1" applyFill="1" applyBorder="1" applyAlignment="1">
      <alignment vertical="center" wrapText="1"/>
    </xf>
    <xf numFmtId="9" fontId="2" fillId="0" borderId="1" xfId="0" applyNumberFormat="1" applyFont="1" applyFill="1" applyBorder="1" applyAlignment="1">
      <alignment horizontal="left" vertical="center" wrapText="1" indent="1"/>
    </xf>
    <xf numFmtId="1" fontId="2" fillId="0" borderId="11" xfId="0" applyNumberFormat="1" applyFont="1" applyFill="1" applyBorder="1" applyAlignment="1">
      <alignment horizontal="left" vertical="top" wrapText="1" indent="1"/>
    </xf>
    <xf numFmtId="1" fontId="2" fillId="0" borderId="1" xfId="0" applyNumberFormat="1" applyFont="1" applyFill="1" applyBorder="1" applyAlignment="1">
      <alignment horizontal="left" vertical="top" wrapText="1" indent="1"/>
    </xf>
    <xf numFmtId="41" fontId="2" fillId="0" borderId="11" xfId="1" applyNumberFormat="1" applyFont="1" applyFill="1" applyBorder="1" applyAlignment="1">
      <alignment horizontal="left" vertical="top" wrapText="1"/>
    </xf>
    <xf numFmtId="164" fontId="2" fillId="0" borderId="1" xfId="1" applyNumberFormat="1" applyFont="1" applyFill="1" applyBorder="1" applyAlignment="1">
      <alignment horizontal="left" vertical="top" wrapText="1" indent="1"/>
    </xf>
    <xf numFmtId="165" fontId="2" fillId="0" borderId="11" xfId="0" applyNumberFormat="1" applyFont="1" applyFill="1" applyBorder="1" applyAlignment="1">
      <alignment horizontal="left" vertical="top" wrapText="1" indent="1"/>
    </xf>
    <xf numFmtId="165" fontId="2" fillId="0" borderId="1" xfId="0" applyNumberFormat="1" applyFont="1" applyFill="1" applyBorder="1" applyAlignment="1">
      <alignment horizontal="left" vertical="top" wrapText="1" indent="1"/>
    </xf>
    <xf numFmtId="0" fontId="6"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indent="1"/>
    </xf>
    <xf numFmtId="0" fontId="2" fillId="0" borderId="13" xfId="0" applyFont="1" applyFill="1" applyBorder="1" applyAlignment="1">
      <alignment horizontal="left" vertical="center" wrapText="1" indent="1"/>
    </xf>
    <xf numFmtId="0" fontId="18" fillId="0" borderId="13"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8" fillId="0" borderId="1" xfId="0" applyFont="1" applyFill="1" applyBorder="1" applyAlignment="1">
      <alignment horizontal="left" vertical="center" wrapText="1"/>
    </xf>
    <xf numFmtId="0" fontId="2" fillId="0" borderId="5" xfId="0" applyFont="1" applyFill="1" applyBorder="1" applyAlignment="1">
      <alignment horizontal="left" vertical="center" wrapText="1" indent="1"/>
    </xf>
    <xf numFmtId="0" fontId="2" fillId="0" borderId="13" xfId="0" applyFont="1" applyFill="1" applyBorder="1" applyAlignment="1">
      <alignment horizontal="left" vertical="top" wrapText="1" indent="1"/>
    </xf>
    <xf numFmtId="0" fontId="2" fillId="0" borderId="1" xfId="0" applyFont="1" applyFill="1" applyBorder="1" applyAlignment="1">
      <alignment horizontal="left" vertical="top" wrapText="1" indent="1"/>
    </xf>
    <xf numFmtId="0" fontId="5" fillId="0" borderId="1" xfId="0" applyFont="1" applyFill="1" applyBorder="1" applyAlignment="1">
      <alignment horizontal="left" vertical="top" wrapText="1" indent="1"/>
    </xf>
    <xf numFmtId="0" fontId="2" fillId="0" borderId="13" xfId="0" applyFont="1" applyFill="1" applyBorder="1" applyAlignment="1">
      <alignment vertical="center" wrapText="1"/>
    </xf>
    <xf numFmtId="10" fontId="2" fillId="0" borderId="13" xfId="0" applyNumberFormat="1" applyFont="1" applyFill="1" applyBorder="1" applyAlignment="1">
      <alignment vertical="center" wrapText="1"/>
    </xf>
    <xf numFmtId="0" fontId="2" fillId="0" borderId="12" xfId="0" applyFont="1" applyFill="1" applyBorder="1" applyAlignment="1">
      <alignment vertical="center" wrapText="1"/>
    </xf>
    <xf numFmtId="0" fontId="17" fillId="0" borderId="12" xfId="0" applyFont="1" applyFill="1" applyBorder="1" applyAlignment="1">
      <alignment vertical="center" wrapText="1"/>
    </xf>
    <xf numFmtId="9" fontId="17" fillId="0" borderId="12" xfId="2" applyFont="1" applyFill="1" applyBorder="1" applyAlignment="1">
      <alignment vertical="center" wrapText="1"/>
    </xf>
    <xf numFmtId="0" fontId="2" fillId="0" borderId="15" xfId="0" applyFont="1" applyFill="1" applyBorder="1" applyAlignment="1">
      <alignment vertical="center" wrapText="1"/>
    </xf>
    <xf numFmtId="0" fontId="2" fillId="0" borderId="2" xfId="0" applyFont="1" applyFill="1" applyBorder="1" applyAlignment="1">
      <alignment vertical="center" wrapText="1"/>
    </xf>
    <xf numFmtId="0" fontId="17" fillId="2"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3" xfId="0" applyFont="1" applyFill="1" applyBorder="1" applyAlignment="1">
      <alignment vertical="center" wrapText="1"/>
    </xf>
    <xf numFmtId="0" fontId="7" fillId="0" borderId="13" xfId="0" applyFont="1" applyFill="1" applyBorder="1" applyAlignment="1">
      <alignment vertical="center" wrapText="1"/>
    </xf>
    <xf numFmtId="9" fontId="2" fillId="0" borderId="13" xfId="2" applyFont="1" applyFill="1" applyBorder="1" applyAlignment="1">
      <alignment vertical="center" wrapText="1"/>
    </xf>
    <xf numFmtId="0" fontId="5" fillId="0" borderId="12" xfId="0" applyFont="1" applyFill="1" applyBorder="1" applyAlignment="1">
      <alignment vertical="center" wrapText="1"/>
    </xf>
    <xf numFmtId="0" fontId="5" fillId="0" borderId="5" xfId="0" applyFont="1" applyFill="1" applyBorder="1" applyAlignment="1">
      <alignment vertical="center" wrapText="1"/>
    </xf>
    <xf numFmtId="9" fontId="2" fillId="0" borderId="12" xfId="2" applyFont="1" applyFill="1" applyBorder="1" applyAlignment="1">
      <alignment vertical="center" wrapText="1"/>
    </xf>
    <xf numFmtId="43" fontId="2" fillId="0" borderId="13" xfId="3" applyFont="1" applyFill="1" applyBorder="1" applyAlignment="1">
      <alignment vertical="center" wrapText="1"/>
    </xf>
    <xf numFmtId="166" fontId="2" fillId="0" borderId="13" xfId="3" applyNumberFormat="1" applyFont="1" applyFill="1" applyBorder="1" applyAlignment="1">
      <alignment vertical="center" wrapText="1"/>
    </xf>
    <xf numFmtId="0" fontId="2" fillId="0" borderId="14" xfId="0" applyFont="1" applyFill="1" applyBorder="1" applyAlignment="1">
      <alignment vertical="center" wrapText="1"/>
    </xf>
    <xf numFmtId="9" fontId="2" fillId="0" borderId="14" xfId="2" applyFont="1" applyFill="1" applyBorder="1" applyAlignment="1">
      <alignment vertical="center" wrapText="1"/>
    </xf>
    <xf numFmtId="0" fontId="8" fillId="2" borderId="1" xfId="0" applyFont="1" applyFill="1" applyBorder="1" applyAlignment="1">
      <alignment vertical="center" wrapText="1"/>
    </xf>
    <xf numFmtId="0" fontId="9" fillId="2" borderId="13" xfId="0" applyFont="1" applyFill="1" applyBorder="1" applyAlignment="1">
      <alignment vertical="center" wrapText="1"/>
    </xf>
    <xf numFmtId="0" fontId="2" fillId="0" borderId="1" xfId="0" applyFont="1" applyBorder="1" applyAlignment="1">
      <alignment vertical="center" wrapText="1"/>
    </xf>
    <xf numFmtId="0" fontId="18" fillId="0" borderId="1" xfId="0" applyFont="1" applyBorder="1" applyAlignment="1">
      <alignment vertical="center" wrapText="1"/>
    </xf>
    <xf numFmtId="0" fontId="18" fillId="0" borderId="13" xfId="0" applyFont="1" applyBorder="1" applyAlignment="1">
      <alignment vertical="center" wrapText="1"/>
    </xf>
    <xf numFmtId="0" fontId="2" fillId="2" borderId="1" xfId="0" applyFont="1" applyFill="1" applyBorder="1" applyAlignment="1">
      <alignment vertical="center" wrapText="1"/>
    </xf>
    <xf numFmtId="0" fontId="8" fillId="0" borderId="12" xfId="0" applyFont="1" applyFill="1" applyBorder="1" applyAlignment="1">
      <alignment vertical="center" wrapText="1"/>
    </xf>
    <xf numFmtId="9" fontId="17" fillId="0" borderId="13" xfId="2" applyFont="1" applyFill="1" applyBorder="1" applyAlignment="1">
      <alignment vertical="center" wrapText="1"/>
    </xf>
    <xf numFmtId="0" fontId="18" fillId="0" borderId="5" xfId="0" applyFont="1" applyFill="1" applyBorder="1" applyAlignment="1">
      <alignment vertical="center" wrapText="1"/>
    </xf>
    <xf numFmtId="0" fontId="2"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1" xfId="0" applyFont="1" applyFill="1" applyBorder="1" applyAlignment="1">
      <alignment vertical="center" wrapText="1"/>
    </xf>
    <xf numFmtId="165" fontId="2" fillId="0" borderId="1" xfId="2" applyNumberFormat="1" applyFont="1" applyFill="1" applyBorder="1" applyAlignment="1">
      <alignment vertical="center" wrapText="1"/>
    </xf>
    <xf numFmtId="0" fontId="19" fillId="0" borderId="13" xfId="0" applyNumberFormat="1" applyFont="1" applyFill="1" applyBorder="1" applyAlignment="1">
      <alignment vertical="center" wrapText="1"/>
    </xf>
    <xf numFmtId="9" fontId="2" fillId="0" borderId="13" xfId="0" applyNumberFormat="1" applyFont="1" applyFill="1" applyBorder="1" applyAlignment="1">
      <alignment vertical="center" wrapText="1"/>
    </xf>
    <xf numFmtId="0" fontId="13"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3" xfId="0" applyFont="1" applyFill="1" applyBorder="1" applyAlignment="1">
      <alignment vertical="top" wrapText="1"/>
    </xf>
    <xf numFmtId="10" fontId="13"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13" fillId="0" borderId="13" xfId="0" applyFont="1" applyFill="1" applyBorder="1" applyAlignment="1">
      <alignment vertical="center" wrapText="1"/>
    </xf>
    <xf numFmtId="9" fontId="13" fillId="0" borderId="13" xfId="0" applyNumberFormat="1" applyFont="1" applyFill="1" applyBorder="1" applyAlignment="1">
      <alignment vertical="center" wrapText="1"/>
    </xf>
    <xf numFmtId="1" fontId="2" fillId="0" borderId="13" xfId="0" applyNumberFormat="1" applyFont="1" applyFill="1" applyBorder="1" applyAlignment="1">
      <alignment vertical="center" wrapText="1"/>
    </xf>
    <xf numFmtId="166" fontId="18" fillId="0" borderId="1" xfId="3" applyNumberFormat="1" applyFont="1" applyFill="1" applyBorder="1" applyAlignment="1">
      <alignment vertical="center" wrapText="1"/>
    </xf>
    <xf numFmtId="0" fontId="2" fillId="0" borderId="13" xfId="0" applyNumberFormat="1" applyFont="1" applyFill="1" applyBorder="1" applyAlignment="1">
      <alignment vertical="center" wrapText="1"/>
    </xf>
    <xf numFmtId="9" fontId="19" fillId="0" borderId="1" xfId="0" applyNumberFormat="1" applyFont="1" applyFill="1" applyBorder="1" applyAlignment="1">
      <alignment vertical="center" wrapText="1"/>
    </xf>
    <xf numFmtId="9" fontId="2" fillId="0" borderId="1" xfId="2" applyFont="1" applyFill="1" applyBorder="1" applyAlignment="1">
      <alignment vertical="center" wrapText="1"/>
    </xf>
    <xf numFmtId="0" fontId="16" fillId="9" borderId="1" xfId="0" applyFont="1" applyFill="1" applyBorder="1" applyAlignment="1">
      <alignment horizontal="center" vertical="top" wrapText="1"/>
    </xf>
    <xf numFmtId="0" fontId="16" fillId="9" borderId="1" xfId="0" applyFont="1" applyFill="1" applyBorder="1" applyAlignment="1">
      <alignment horizontal="center" vertical="center" wrapTex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xf>
    <xf numFmtId="0" fontId="2" fillId="2" borderId="0" xfId="0" applyFont="1" applyFill="1" applyBorder="1" applyAlignment="1">
      <alignment horizontal="center" vertical="center"/>
    </xf>
    <xf numFmtId="166" fontId="2" fillId="2" borderId="0" xfId="3" applyNumberFormat="1" applyFont="1" applyFill="1" applyBorder="1" applyAlignment="1">
      <alignment horizontal="center" vertical="center"/>
    </xf>
    <xf numFmtId="0" fontId="17" fillId="0" borderId="5" xfId="0" applyFont="1" applyFill="1" applyBorder="1" applyAlignment="1">
      <alignment vertical="center" wrapText="1"/>
    </xf>
    <xf numFmtId="166" fontId="16" fillId="9" borderId="1" xfId="3" applyNumberFormat="1" applyFont="1" applyFill="1" applyBorder="1" applyAlignment="1">
      <alignment horizontal="center" vertical="top" wrapText="1"/>
    </xf>
    <xf numFmtId="167" fontId="2" fillId="0" borderId="1" xfId="0" applyNumberFormat="1" applyFont="1" applyFill="1" applyBorder="1" applyAlignment="1">
      <alignment horizontal="right" vertical="center" wrapText="1"/>
    </xf>
    <xf numFmtId="9" fontId="2" fillId="0" borderId="4" xfId="0" applyNumberFormat="1"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 xfId="0" applyFont="1" applyFill="1" applyBorder="1" applyAlignment="1">
      <alignment horizontal="left" vertical="top" wrapText="1" indent="1"/>
    </xf>
    <xf numFmtId="164" fontId="2" fillId="0" borderId="4" xfId="1" applyNumberFormat="1" applyFont="1" applyFill="1" applyBorder="1" applyAlignment="1">
      <alignment horizontal="left" vertical="top" wrapText="1"/>
    </xf>
    <xf numFmtId="41" fontId="2" fillId="0" borderId="4" xfId="1" applyNumberFormat="1" applyFont="1" applyFill="1" applyBorder="1" applyAlignment="1">
      <alignment horizontal="left" vertical="top" wrapText="1"/>
    </xf>
    <xf numFmtId="9" fontId="2" fillId="0" borderId="4" xfId="0" applyNumberFormat="1" applyFont="1" applyFill="1" applyBorder="1" applyAlignment="1">
      <alignment horizontal="left" vertical="top" wrapText="1" indent="1"/>
    </xf>
    <xf numFmtId="0" fontId="2" fillId="0" borderId="4" xfId="0" applyFont="1" applyFill="1" applyBorder="1" applyAlignment="1">
      <alignment vertical="center" wrapText="1"/>
    </xf>
    <xf numFmtId="165" fontId="2" fillId="0" borderId="4" xfId="0" applyNumberFormat="1" applyFont="1" applyFill="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4" xfId="0" applyFont="1" applyFill="1" applyBorder="1" applyAlignment="1">
      <alignment horizontal="center" vertical="center" wrapText="1"/>
    </xf>
    <xf numFmtId="0" fontId="2" fillId="0" borderId="4" xfId="0" applyFont="1" applyFill="1" applyBorder="1" applyAlignment="1">
      <alignment horizontal="right" vertical="top" wrapText="1" indent="1"/>
    </xf>
    <xf numFmtId="0" fontId="2" fillId="0" borderId="4" xfId="0" applyFont="1" applyFill="1" applyBorder="1" applyAlignment="1">
      <alignment horizontal="left" vertical="center" wrapText="1" indent="1"/>
    </xf>
    <xf numFmtId="9" fontId="2" fillId="0" borderId="4" xfId="0" applyNumberFormat="1" applyFont="1" applyFill="1" applyBorder="1" applyAlignment="1">
      <alignment horizontal="right" vertical="top" wrapText="1" indent="1"/>
    </xf>
    <xf numFmtId="0" fontId="2" fillId="0" borderId="1" xfId="0"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0" fontId="2" fillId="0" borderId="1" xfId="3"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2" fillId="0" borderId="16" xfId="3" applyNumberFormat="1" applyFont="1" applyFill="1" applyBorder="1" applyAlignment="1">
      <alignment horizontal="center" vertical="center" wrapText="1"/>
    </xf>
    <xf numFmtId="0" fontId="2" fillId="0" borderId="17" xfId="3" applyNumberFormat="1" applyFont="1" applyFill="1" applyBorder="1" applyAlignment="1">
      <alignment horizontal="center" vertical="center" wrapText="1"/>
    </xf>
    <xf numFmtId="0" fontId="16" fillId="9" borderId="13" xfId="0" applyFont="1" applyFill="1" applyBorder="1" applyAlignment="1">
      <alignment horizontal="center" vertical="top" wrapText="1"/>
    </xf>
    <xf numFmtId="0" fontId="16" fillId="9" borderId="2" xfId="0" applyFont="1" applyFill="1" applyBorder="1" applyAlignment="1">
      <alignment horizontal="center" vertical="top" wrapText="1"/>
    </xf>
    <xf numFmtId="0" fontId="16" fillId="9" borderId="15" xfId="0" applyFont="1" applyFill="1" applyBorder="1" applyAlignment="1">
      <alignment horizontal="center" vertical="top"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top" wrapText="1"/>
    </xf>
    <xf numFmtId="0" fontId="16" fillId="9" borderId="1" xfId="0" applyFont="1" applyFill="1" applyBorder="1" applyAlignment="1">
      <alignment horizontal="left" vertical="top" wrapText="1" indent="1"/>
    </xf>
    <xf numFmtId="166" fontId="16" fillId="9" borderId="1" xfId="3" applyNumberFormat="1" applyFont="1" applyFill="1" applyBorder="1" applyAlignment="1">
      <alignment horizontal="center" vertical="center" wrapText="1"/>
    </xf>
    <xf numFmtId="0" fontId="16" fillId="9" borderId="1" xfId="0" applyFont="1" applyFill="1" applyBorder="1" applyAlignment="1">
      <alignment horizontal="center" vertical="top"/>
    </xf>
    <xf numFmtId="0" fontId="2" fillId="2" borderId="1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15" fillId="10" borderId="18" xfId="0" applyFont="1" applyFill="1" applyBorder="1" applyAlignment="1">
      <alignment horizontal="center"/>
    </xf>
    <xf numFmtId="0" fontId="15" fillId="10" borderId="19" xfId="0" applyFont="1" applyFill="1" applyBorder="1" applyAlignment="1">
      <alignment horizontal="center"/>
    </xf>
    <xf numFmtId="0" fontId="15" fillId="10" borderId="20" xfId="0" applyFont="1" applyFill="1" applyBorder="1" applyAlignment="1">
      <alignment horizontal="center"/>
    </xf>
    <xf numFmtId="0" fontId="2" fillId="2" borderId="2"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5" xfId="0" applyFont="1" applyFill="1" applyBorder="1" applyAlignment="1">
      <alignment horizontal="justify" vertical="center" wrapText="1"/>
    </xf>
    <xf numFmtId="0" fontId="0" fillId="0" borderId="2" xfId="0" applyBorder="1" applyAlignment="1">
      <alignment horizontal="justify" vertical="center" wrapText="1"/>
    </xf>
    <xf numFmtId="0" fontId="0" fillId="0" borderId="15" xfId="0" applyBorder="1" applyAlignment="1">
      <alignment horizontal="justify" vertical="center" wrapText="1"/>
    </xf>
  </cellXfs>
  <cellStyles count="12">
    <cellStyle name="Millares" xfId="3" builtinId="3"/>
    <cellStyle name="Millares [0]" xfId="1" builtinId="6"/>
    <cellStyle name="Millares [0] 2" xfId="5" xr:uid="{00000000-0005-0000-0000-000002000000}"/>
    <cellStyle name="Millares 2" xfId="7" xr:uid="{00000000-0005-0000-0000-000003000000}"/>
    <cellStyle name="Millares 3" xfId="10" xr:uid="{00000000-0005-0000-0000-000004000000}"/>
    <cellStyle name="Millares 4" xfId="4" xr:uid="{00000000-0005-0000-0000-000005000000}"/>
    <cellStyle name="Millares 5" xfId="6" xr:uid="{00000000-0005-0000-0000-000006000000}"/>
    <cellStyle name="Millares 6" xfId="9" xr:uid="{00000000-0005-0000-0000-000007000000}"/>
    <cellStyle name="Millares 7" xfId="11" xr:uid="{00000000-0005-0000-0000-000008000000}"/>
    <cellStyle name="Moneda [0] 2" xfId="8" xr:uid="{00000000-0005-0000-0000-000009000000}"/>
    <cellStyle name="Normal" xfId="0" builtinId="0"/>
    <cellStyle name="Porcentaje" xfId="2" builtinId="5"/>
  </cellStyles>
  <dxfs count="0"/>
  <tableStyles count="0" defaultTableStyle="TableStyleMedium2" defaultPivotStyle="PivotStyleLight16"/>
  <colors>
    <mruColors>
      <color rgb="FFF8F8F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DE%20DESARROLLO%20-%20HOMOLOGACION\HOMOLOGACI&#211;N%20AJUSTADA\Homologaci&#243;n%20Anexo%203%20DNP_17_Ago_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barranquilla-my.sharepoint.com/personal/cdiazm_barranquilla_gov_co/Documents/Datos%20adjuntos/INGRESOS%20Y%20GASTOS%20(Jul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Recibidos"/>
      <sheetName val="Ind. Bienestar"/>
      <sheetName val="proyectos compartidos"/>
      <sheetName val="PI 2020-2023"/>
      <sheetName val="Hoja2"/>
      <sheetName val="Hoja1"/>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sheetData sheetId="5"/>
      <sheetData sheetId="6"/>
      <sheetData sheetId="7"/>
      <sheetData sheetId="8"/>
      <sheetData sheetId="9">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row r="9134">
          <cell r="B9134"/>
        </row>
        <row r="9135">
          <cell r="B9135" t="str">
            <v>Incremento</v>
          </cell>
        </row>
        <row r="9136">
          <cell r="B9136" t="str">
            <v>Mantenimiento</v>
          </cell>
        </row>
      </sheetData>
      <sheetData sheetId="10"/>
      <sheetData sheetId="11">
        <row r="2">
          <cell r="A2" t="str">
            <v>Asistencia / Subsistencia mínima</v>
          </cell>
        </row>
        <row r="3">
          <cell r="A3" t="str">
            <v>Asistencia / Salud</v>
          </cell>
        </row>
        <row r="4">
          <cell r="A4" t="str">
            <v>Asistencia / Educación</v>
          </cell>
        </row>
        <row r="5">
          <cell r="A5" t="str">
            <v>Asistencia / Alimentación (Solo víctimas desplazamiento)</v>
          </cell>
        </row>
        <row r="6">
          <cell r="A6" t="str">
            <v>Asistencia / Identificación (Solo víctimas desplazamiento)</v>
          </cell>
        </row>
        <row r="7">
          <cell r="A7" t="str">
            <v>Asistencia / Vivienda (Solo víctimas desplazamiento)</v>
          </cell>
        </row>
        <row r="8">
          <cell r="A8" t="str">
            <v>Asistencia / Generación de Ingresos (Solo víctimas desplazamiento)</v>
          </cell>
        </row>
        <row r="9">
          <cell r="A9" t="str">
            <v>Asistencia / Reunificación familiar - Reintegración</v>
          </cell>
        </row>
        <row r="10">
          <cell r="A10" t="str">
            <v>Atención / Transversal/Orientación y Comunicación</v>
          </cell>
        </row>
        <row r="11">
          <cell r="A11" t="str">
            <v>Ejes transversales /  Coordinación nación- Territorio</v>
          </cell>
        </row>
        <row r="12">
          <cell r="A12" t="str">
            <v>Ejes transversales /  Sistemas de información</v>
          </cell>
        </row>
        <row r="13">
          <cell r="A13" t="str">
            <v>Ejes transversales / Participación</v>
          </cell>
        </row>
        <row r="14">
          <cell r="A14" t="str">
            <v>Ejes transversales / Coordinación nacional</v>
          </cell>
        </row>
        <row r="15">
          <cell r="A15" t="str">
            <v>Prevención y protección / Vida, seguridad, libertad e integridad</v>
          </cell>
        </row>
        <row r="16">
          <cell r="A16" t="str">
            <v>Prevención y protección / Protección de predios, tierras y territorios abandonados</v>
          </cell>
        </row>
        <row r="17">
          <cell r="A17" t="str">
            <v>Reparación /  Retorno y reubicación (Solo víctimas desplazamiento)</v>
          </cell>
        </row>
        <row r="18">
          <cell r="A18" t="str">
            <v>Reparación /  Rehabilitación</v>
          </cell>
        </row>
        <row r="19">
          <cell r="A19" t="str">
            <v>Reparación /  Satisfacción</v>
          </cell>
        </row>
        <row r="20">
          <cell r="A20" t="str">
            <v>Reparación /  Garantías de no repetición</v>
          </cell>
        </row>
        <row r="21">
          <cell r="A21" t="str">
            <v>Reparación /  Restitución</v>
          </cell>
        </row>
        <row r="22">
          <cell r="A22" t="str">
            <v>Reparación /  Empleo</v>
          </cell>
        </row>
        <row r="23">
          <cell r="A23" t="str">
            <v>Reparación /  Reparación Colectiva</v>
          </cell>
        </row>
        <row r="24">
          <cell r="A24" t="str">
            <v>Reparación /  Créditos y pasivos</v>
          </cell>
        </row>
        <row r="25">
          <cell r="A25" t="str">
            <v>No aporta</v>
          </cell>
        </row>
      </sheetData>
      <sheetData sheetId="12">
        <row r="2">
          <cell r="A2" t="str">
            <v>Sin relación con los ODS</v>
          </cell>
        </row>
        <row r="3">
          <cell r="A3" t="str">
            <v>ODS 1. Fin de la pobreza</v>
          </cell>
        </row>
        <row r="4">
          <cell r="A4" t="str">
            <v>ODS 2. Hambre cero</v>
          </cell>
        </row>
        <row r="5">
          <cell r="A5" t="str">
            <v>ODS 3. Salud y bienestar</v>
          </cell>
        </row>
        <row r="6">
          <cell r="A6" t="str">
            <v>ODS 4. Educación de calidad</v>
          </cell>
        </row>
        <row r="7">
          <cell r="A7" t="str">
            <v>ODS 5. Igualdad de género</v>
          </cell>
        </row>
        <row r="8">
          <cell r="A8" t="str">
            <v>ODS 6. Agua limpia y saneamiento</v>
          </cell>
        </row>
        <row r="9">
          <cell r="A9" t="str">
            <v>ODS 7. Energía asequible y no contaminante</v>
          </cell>
        </row>
        <row r="10">
          <cell r="A10" t="str">
            <v>ODS 8. Trabajo decente y crecimiento económico</v>
          </cell>
        </row>
        <row r="11">
          <cell r="A11" t="str">
            <v>ODS 9. Industria, innovación e infraestructuras</v>
          </cell>
        </row>
        <row r="12">
          <cell r="A12" t="str">
            <v>ODS 10. Reducción de las desigualdades</v>
          </cell>
        </row>
        <row r="13">
          <cell r="A13" t="str">
            <v>ODS 11. Ciudades y comunidades sostenibles</v>
          </cell>
        </row>
        <row r="14">
          <cell r="A14" t="str">
            <v>ODS 12. Producción y consumo responsables</v>
          </cell>
        </row>
        <row r="15">
          <cell r="A15" t="str">
            <v>ODS 13. Acción por el clima</v>
          </cell>
        </row>
        <row r="16">
          <cell r="A16" t="str">
            <v>ODS 14. Vida submarina</v>
          </cell>
        </row>
        <row r="17">
          <cell r="A17" t="str">
            <v>ODS 15. Vida de ecosistemas terrestres</v>
          </cell>
        </row>
        <row r="18">
          <cell r="A18" t="str">
            <v>ODS 16. Paz, justicia e instituciones sólidas</v>
          </cell>
        </row>
        <row r="19">
          <cell r="A19" t="str">
            <v>ODS 17. Alianzas para lograr los objetivos</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de Gastos"/>
      <sheetName val="RENTAS "/>
    </sheetNames>
    <sheetDataSet>
      <sheetData sheetId="0">
        <row r="336">
          <cell r="J336">
            <v>17905395090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C549"/>
  <sheetViews>
    <sheetView tabSelected="1" topLeftCell="I143" zoomScale="70" zoomScaleNormal="70" workbookViewId="0">
      <selection activeCell="T146" sqref="T146"/>
    </sheetView>
  </sheetViews>
  <sheetFormatPr baseColWidth="10" defaultColWidth="11.42578125" defaultRowHeight="15.75" x14ac:dyDescent="0.25"/>
  <cols>
    <col min="1" max="1" width="28.85546875" style="9" customWidth="1"/>
    <col min="2" max="2" width="33.28515625" style="12" customWidth="1"/>
    <col min="3" max="3" width="22" style="12" customWidth="1"/>
    <col min="4" max="4" width="19.5703125" style="12" customWidth="1"/>
    <col min="5" max="5" width="12" style="9" customWidth="1"/>
    <col min="6" max="6" width="26" style="9" customWidth="1"/>
    <col min="7" max="8" width="25.5703125" style="12" customWidth="1"/>
    <col min="9" max="10" width="31.28515625" style="158" customWidth="1"/>
    <col min="11" max="11" width="11" style="9" customWidth="1"/>
    <col min="12" max="12" width="25.28515625" style="9" bestFit="1" customWidth="1"/>
    <col min="13" max="13" width="25.42578125" style="12" customWidth="1"/>
    <col min="14" max="14" width="16" style="9" customWidth="1"/>
    <col min="15" max="15" width="16.7109375" style="159" customWidth="1"/>
    <col min="16" max="17" width="16.140625" style="9" customWidth="1"/>
    <col min="18" max="18" width="11.28515625" style="9" customWidth="1"/>
    <col min="19" max="19" width="12.5703125" style="9" customWidth="1"/>
    <col min="20" max="20" width="11.85546875" style="9" customWidth="1"/>
    <col min="21" max="21" width="11.28515625" style="9" customWidth="1"/>
    <col min="22" max="22" width="29.5703125" style="160" customWidth="1"/>
    <col min="23" max="23" width="23.42578125" style="5" customWidth="1"/>
    <col min="24" max="24" width="24.28515625" style="5" customWidth="1"/>
    <col min="25" max="25" width="28.42578125" style="5" customWidth="1"/>
    <col min="26" max="27" width="28" style="5" customWidth="1"/>
    <col min="28" max="28" width="26.42578125" style="160" customWidth="1"/>
    <col min="29" max="29" width="24" style="5" customWidth="1"/>
    <col min="30" max="30" width="21.42578125" style="5" customWidth="1"/>
    <col min="31" max="31" width="9.42578125" style="5" customWidth="1"/>
    <col min="32" max="32" width="23.5703125" style="5" customWidth="1"/>
    <col min="33" max="34" width="12.42578125" style="5" customWidth="1"/>
    <col min="35" max="35" width="27.5703125" style="161" customWidth="1"/>
    <col min="36" max="36" width="26.28515625" style="5" customWidth="1"/>
    <col min="37" max="37" width="31.42578125" style="5" customWidth="1"/>
    <col min="38" max="38" width="20" style="5" customWidth="1"/>
    <col min="39" max="39" width="24.5703125" style="5" customWidth="1"/>
    <col min="40" max="40" width="19.28515625" style="160" customWidth="1"/>
    <col min="41" max="41" width="13.85546875" style="160" customWidth="1"/>
    <col min="42" max="42" width="26.42578125" style="5" customWidth="1"/>
    <col min="43" max="43" width="20.7109375" style="5" customWidth="1"/>
    <col min="44" max="44" width="24.5703125" style="5" customWidth="1"/>
    <col min="45" max="45" width="22.28515625" style="5" customWidth="1"/>
    <col min="46" max="46" width="24.5703125" style="5" customWidth="1"/>
    <col min="47" max="47" width="14.42578125" style="5" customWidth="1"/>
    <col min="48" max="48" width="9.7109375" style="5" customWidth="1"/>
    <col min="49" max="49" width="24.42578125" style="4" customWidth="1"/>
    <col min="50" max="50" width="25.5703125" style="4" customWidth="1"/>
    <col min="51" max="51" width="26.7109375" style="4" customWidth="1"/>
    <col min="52" max="52" width="25.7109375" style="4" customWidth="1"/>
    <col min="53" max="53" width="27.28515625" style="4" customWidth="1"/>
    <col min="54" max="133" width="11.42578125" style="4"/>
    <col min="134" max="16384" width="11.42578125" style="5"/>
  </cols>
  <sheetData>
    <row r="1" spans="1:133" s="23" customFormat="1" x14ac:dyDescent="0.25">
      <c r="A1" s="193" t="s">
        <v>0</v>
      </c>
      <c r="B1" s="194" t="s">
        <v>1</v>
      </c>
      <c r="C1" s="194" t="s">
        <v>2</v>
      </c>
      <c r="D1" s="194" t="s">
        <v>3</v>
      </c>
      <c r="E1" s="193" t="s">
        <v>4</v>
      </c>
      <c r="F1" s="193" t="s">
        <v>5</v>
      </c>
      <c r="G1" s="194" t="s">
        <v>6</v>
      </c>
      <c r="H1" s="189" t="s">
        <v>1144</v>
      </c>
      <c r="I1" s="194" t="s">
        <v>7</v>
      </c>
      <c r="J1" s="189" t="s">
        <v>1688</v>
      </c>
      <c r="K1" s="193" t="s">
        <v>8</v>
      </c>
      <c r="L1" s="193" t="s">
        <v>5</v>
      </c>
      <c r="M1" s="194" t="s">
        <v>9</v>
      </c>
      <c r="N1" s="192" t="s">
        <v>10</v>
      </c>
      <c r="O1" s="192" t="s">
        <v>11</v>
      </c>
      <c r="P1" s="194" t="s">
        <v>12</v>
      </c>
      <c r="Q1" s="189" t="s">
        <v>1681</v>
      </c>
      <c r="R1" s="196" t="s">
        <v>13</v>
      </c>
      <c r="S1" s="196"/>
      <c r="T1" s="196"/>
      <c r="U1" s="196"/>
      <c r="V1" s="192" t="s">
        <v>14</v>
      </c>
      <c r="W1" s="192"/>
      <c r="X1" s="192"/>
      <c r="Y1" s="192"/>
      <c r="Z1" s="192"/>
      <c r="AA1" s="192"/>
      <c r="AB1" s="192"/>
      <c r="AC1" s="192"/>
      <c r="AD1" s="192"/>
      <c r="AE1" s="192"/>
      <c r="AF1" s="192"/>
      <c r="AG1" s="192"/>
      <c r="AH1" s="192"/>
      <c r="AI1" s="195"/>
      <c r="AJ1" s="192"/>
      <c r="AK1" s="192"/>
      <c r="AL1" s="192"/>
      <c r="AM1" s="192"/>
      <c r="AN1" s="192"/>
      <c r="AO1" s="192"/>
      <c r="AP1" s="192"/>
      <c r="AQ1" s="192"/>
      <c r="AR1" s="192"/>
      <c r="AS1" s="192"/>
      <c r="AT1" s="192"/>
      <c r="AU1" s="192"/>
      <c r="AV1" s="192"/>
      <c r="AW1" s="192" t="s">
        <v>15</v>
      </c>
      <c r="AX1" s="192"/>
      <c r="AY1" s="192"/>
      <c r="AZ1" s="192"/>
      <c r="BA1" s="19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row>
    <row r="2" spans="1:133" s="10" customFormat="1" x14ac:dyDescent="0.25">
      <c r="A2" s="193"/>
      <c r="B2" s="194"/>
      <c r="C2" s="194"/>
      <c r="D2" s="194"/>
      <c r="E2" s="193"/>
      <c r="F2" s="193"/>
      <c r="G2" s="194"/>
      <c r="H2" s="190"/>
      <c r="I2" s="194"/>
      <c r="J2" s="190"/>
      <c r="K2" s="193"/>
      <c r="L2" s="193"/>
      <c r="M2" s="194"/>
      <c r="N2" s="192"/>
      <c r="O2" s="192"/>
      <c r="P2" s="194"/>
      <c r="Q2" s="190"/>
      <c r="R2" s="196"/>
      <c r="S2" s="196"/>
      <c r="T2" s="196"/>
      <c r="U2" s="196"/>
      <c r="V2" s="193">
        <v>2020</v>
      </c>
      <c r="W2" s="193"/>
      <c r="X2" s="193"/>
      <c r="Y2" s="193"/>
      <c r="Z2" s="193"/>
      <c r="AA2" s="193"/>
      <c r="AB2" s="193">
        <v>2021</v>
      </c>
      <c r="AC2" s="193"/>
      <c r="AD2" s="193"/>
      <c r="AE2" s="193"/>
      <c r="AF2" s="193"/>
      <c r="AG2" s="193"/>
      <c r="AH2" s="193"/>
      <c r="AI2" s="193">
        <v>2022</v>
      </c>
      <c r="AJ2" s="193"/>
      <c r="AK2" s="193"/>
      <c r="AL2" s="193"/>
      <c r="AM2" s="193"/>
      <c r="AN2" s="193"/>
      <c r="AO2" s="193"/>
      <c r="AP2" s="193">
        <v>2023</v>
      </c>
      <c r="AQ2" s="193"/>
      <c r="AR2" s="193"/>
      <c r="AS2" s="193"/>
      <c r="AT2" s="193"/>
      <c r="AU2" s="193"/>
      <c r="AV2" s="193"/>
      <c r="AW2" s="192"/>
      <c r="AX2" s="192"/>
      <c r="AY2" s="192"/>
      <c r="AZ2" s="192"/>
      <c r="BA2" s="192"/>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row>
    <row r="3" spans="1:133" s="30" customFormat="1" ht="94.5" x14ac:dyDescent="0.25">
      <c r="A3" s="193"/>
      <c r="B3" s="194"/>
      <c r="C3" s="194"/>
      <c r="D3" s="194"/>
      <c r="E3" s="193"/>
      <c r="F3" s="193"/>
      <c r="G3" s="194"/>
      <c r="H3" s="191"/>
      <c r="I3" s="194"/>
      <c r="J3" s="191"/>
      <c r="K3" s="193"/>
      <c r="L3" s="193"/>
      <c r="M3" s="194"/>
      <c r="N3" s="192"/>
      <c r="O3" s="192"/>
      <c r="P3" s="194"/>
      <c r="Q3" s="191"/>
      <c r="R3" s="157" t="s">
        <v>16</v>
      </c>
      <c r="S3" s="157" t="s">
        <v>17</v>
      </c>
      <c r="T3" s="157" t="s">
        <v>18</v>
      </c>
      <c r="U3" s="157" t="s">
        <v>19</v>
      </c>
      <c r="V3" s="156" t="s">
        <v>20</v>
      </c>
      <c r="W3" s="156" t="s">
        <v>21</v>
      </c>
      <c r="X3" s="156" t="s">
        <v>22</v>
      </c>
      <c r="Y3" s="156" t="s">
        <v>23</v>
      </c>
      <c r="Z3" s="156" t="s">
        <v>24</v>
      </c>
      <c r="AA3" s="156" t="s">
        <v>25</v>
      </c>
      <c r="AB3" s="156" t="s">
        <v>20</v>
      </c>
      <c r="AC3" s="156" t="s">
        <v>21</v>
      </c>
      <c r="AD3" s="156" t="s">
        <v>22</v>
      </c>
      <c r="AE3" s="156" t="s">
        <v>23</v>
      </c>
      <c r="AF3" s="156" t="s">
        <v>24</v>
      </c>
      <c r="AG3" s="156" t="s">
        <v>25</v>
      </c>
      <c r="AH3" s="156" t="s">
        <v>26</v>
      </c>
      <c r="AI3" s="163" t="s">
        <v>20</v>
      </c>
      <c r="AJ3" s="156" t="s">
        <v>21</v>
      </c>
      <c r="AK3" s="156" t="s">
        <v>22</v>
      </c>
      <c r="AL3" s="156" t="s">
        <v>23</v>
      </c>
      <c r="AM3" s="156" t="s">
        <v>24</v>
      </c>
      <c r="AN3" s="156" t="s">
        <v>25</v>
      </c>
      <c r="AO3" s="156" t="s">
        <v>26</v>
      </c>
      <c r="AP3" s="157" t="s">
        <v>20</v>
      </c>
      <c r="AQ3" s="157" t="s">
        <v>21</v>
      </c>
      <c r="AR3" s="157" t="s">
        <v>22</v>
      </c>
      <c r="AS3" s="157" t="s">
        <v>23</v>
      </c>
      <c r="AT3" s="157" t="s">
        <v>24</v>
      </c>
      <c r="AU3" s="157" t="s">
        <v>25</v>
      </c>
      <c r="AV3" s="157" t="s">
        <v>26</v>
      </c>
      <c r="AW3" s="157">
        <v>2020</v>
      </c>
      <c r="AX3" s="157">
        <v>2021</v>
      </c>
      <c r="AY3" s="157">
        <v>2022</v>
      </c>
      <c r="AZ3" s="157">
        <v>2023</v>
      </c>
      <c r="BA3" s="157" t="s">
        <v>27</v>
      </c>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row>
    <row r="4" spans="1:133" s="25" customFormat="1" ht="252" x14ac:dyDescent="0.25">
      <c r="A4" s="148" t="s">
        <v>28</v>
      </c>
      <c r="B4" s="56" t="s">
        <v>29</v>
      </c>
      <c r="C4" s="56" t="s">
        <v>30</v>
      </c>
      <c r="D4" s="56" t="s">
        <v>31</v>
      </c>
      <c r="E4" s="89" t="s">
        <v>32</v>
      </c>
      <c r="F4" s="89" t="s">
        <v>33</v>
      </c>
      <c r="G4" s="66" t="s">
        <v>34</v>
      </c>
      <c r="H4" s="66" t="s">
        <v>1145</v>
      </c>
      <c r="I4" s="66" t="s">
        <v>35</v>
      </c>
      <c r="J4" s="66" t="s">
        <v>1683</v>
      </c>
      <c r="K4" s="178">
        <v>210284</v>
      </c>
      <c r="L4" s="178">
        <v>210500</v>
      </c>
      <c r="M4" s="54" t="s">
        <v>36</v>
      </c>
      <c r="N4" s="108" t="s">
        <v>37</v>
      </c>
      <c r="O4" s="54" t="s">
        <v>38</v>
      </c>
      <c r="P4" s="54" t="s">
        <v>1677</v>
      </c>
      <c r="Q4" s="54" t="s">
        <v>1679</v>
      </c>
      <c r="R4" s="178">
        <v>210284</v>
      </c>
      <c r="S4" s="178">
        <v>210356</v>
      </c>
      <c r="T4" s="178">
        <v>210428</v>
      </c>
      <c r="U4" s="178">
        <v>210500</v>
      </c>
      <c r="V4" s="164">
        <v>24989136903</v>
      </c>
      <c r="W4" s="61">
        <v>442588013733</v>
      </c>
      <c r="X4" s="61"/>
      <c r="Y4" s="61"/>
      <c r="Z4" s="61"/>
      <c r="AA4" s="61"/>
      <c r="AB4" s="61">
        <f>596614214637*0.06</f>
        <v>35796852878.220001</v>
      </c>
      <c r="AC4" s="61">
        <v>500817361758.78003</v>
      </c>
      <c r="AD4" s="61"/>
      <c r="AE4" s="61"/>
      <c r="AF4" s="61"/>
      <c r="AG4" s="61"/>
      <c r="AH4" s="61"/>
      <c r="AI4" s="61">
        <f>599441770156*0.06</f>
        <v>35966506209.360001</v>
      </c>
      <c r="AJ4" s="61">
        <v>450475263946.64001</v>
      </c>
      <c r="AK4" s="61"/>
      <c r="AL4" s="61"/>
      <c r="AM4" s="61"/>
      <c r="AN4" s="61"/>
      <c r="AO4" s="61"/>
      <c r="AP4" s="61">
        <f>602269325676*0.06</f>
        <v>36136159540.559998</v>
      </c>
      <c r="AQ4" s="61">
        <v>350133166135.44</v>
      </c>
      <c r="AR4" s="61"/>
      <c r="AS4" s="61"/>
      <c r="AT4" s="61"/>
      <c r="AU4" s="61"/>
      <c r="AV4" s="61"/>
      <c r="AW4" s="55">
        <f t="shared" ref="AW4:AW67" si="0">SUM(V4:AA4)</f>
        <v>467577150636</v>
      </c>
      <c r="AX4" s="55">
        <f t="shared" ref="AX4:AX67" si="1">SUM(AB4:AH4)</f>
        <v>536614214637</v>
      </c>
      <c r="AY4" s="55">
        <f t="shared" ref="AY4:AY67" si="2">SUM(AI4:AO4)</f>
        <v>486441770156</v>
      </c>
      <c r="AZ4" s="55">
        <f t="shared" ref="AZ4:AZ67" si="3">SUM(AP4:AV4)</f>
        <v>386269325676</v>
      </c>
      <c r="BA4" s="55">
        <f t="shared" ref="BA4:BA67" si="4">SUM(AW4:AZ4)</f>
        <v>1876902461105</v>
      </c>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row>
    <row r="5" spans="1:133" s="25" customFormat="1" ht="252" x14ac:dyDescent="0.25">
      <c r="A5" s="148" t="s">
        <v>28</v>
      </c>
      <c r="B5" s="56" t="s">
        <v>29</v>
      </c>
      <c r="C5" s="110" t="s">
        <v>30</v>
      </c>
      <c r="D5" s="110" t="s">
        <v>31</v>
      </c>
      <c r="E5" s="111" t="s">
        <v>32</v>
      </c>
      <c r="F5" s="111" t="s">
        <v>33</v>
      </c>
      <c r="G5" s="66" t="s">
        <v>34</v>
      </c>
      <c r="H5" s="66" t="s">
        <v>1146</v>
      </c>
      <c r="I5" s="68" t="s">
        <v>40</v>
      </c>
      <c r="J5" s="68" t="s">
        <v>1682</v>
      </c>
      <c r="K5" s="180" t="s">
        <v>41</v>
      </c>
      <c r="L5" s="179">
        <v>100</v>
      </c>
      <c r="M5" s="54" t="s">
        <v>36</v>
      </c>
      <c r="N5" s="108" t="s">
        <v>37</v>
      </c>
      <c r="O5" s="54" t="s">
        <v>38</v>
      </c>
      <c r="P5" s="70" t="s">
        <v>42</v>
      </c>
      <c r="Q5" s="54" t="s">
        <v>1679</v>
      </c>
      <c r="R5" s="182">
        <v>100</v>
      </c>
      <c r="S5" s="178">
        <v>100</v>
      </c>
      <c r="T5" s="178">
        <v>100</v>
      </c>
      <c r="U5" s="183">
        <v>100</v>
      </c>
      <c r="V5" s="59"/>
      <c r="W5" s="60">
        <f>+'[2]Ejecución de Gastos'!$J$336</f>
        <v>17905395090</v>
      </c>
      <c r="X5" s="60"/>
      <c r="Y5" s="60"/>
      <c r="Z5" s="60"/>
      <c r="AA5" s="61"/>
      <c r="AB5" s="62"/>
      <c r="AC5" s="60">
        <v>46731388504.735992</v>
      </c>
      <c r="AD5" s="60"/>
      <c r="AE5" s="60"/>
      <c r="AF5" s="60"/>
      <c r="AG5" s="60"/>
      <c r="AH5" s="63"/>
      <c r="AI5" s="62"/>
      <c r="AJ5" s="60">
        <v>38600644044.9254</v>
      </c>
      <c r="AK5" s="60"/>
      <c r="AL5" s="60"/>
      <c r="AM5" s="60"/>
      <c r="AN5" s="60"/>
      <c r="AO5" s="63"/>
      <c r="AP5" s="62"/>
      <c r="AQ5" s="60">
        <v>40544669806.722504</v>
      </c>
      <c r="AR5" s="60"/>
      <c r="AS5" s="60"/>
      <c r="AT5" s="60"/>
      <c r="AU5" s="60"/>
      <c r="AV5" s="64"/>
      <c r="AW5" s="55">
        <f t="shared" si="0"/>
        <v>17905395090</v>
      </c>
      <c r="AX5" s="55">
        <f t="shared" si="1"/>
        <v>46731388504.735992</v>
      </c>
      <c r="AY5" s="55">
        <f t="shared" si="2"/>
        <v>38600644044.9254</v>
      </c>
      <c r="AZ5" s="55">
        <f t="shared" si="3"/>
        <v>40544669806.722504</v>
      </c>
      <c r="BA5" s="55">
        <f t="shared" si="4"/>
        <v>143782097446.38391</v>
      </c>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row>
    <row r="6" spans="1:133" s="11" customFormat="1" ht="252" x14ac:dyDescent="0.25">
      <c r="A6" s="148" t="s">
        <v>28</v>
      </c>
      <c r="B6" s="56" t="s">
        <v>29</v>
      </c>
      <c r="C6" s="110" t="s">
        <v>30</v>
      </c>
      <c r="D6" s="110" t="s">
        <v>31</v>
      </c>
      <c r="E6" s="111" t="s">
        <v>32</v>
      </c>
      <c r="F6" s="111" t="s">
        <v>33</v>
      </c>
      <c r="G6" s="108" t="s">
        <v>43</v>
      </c>
      <c r="H6" s="108" t="s">
        <v>1147</v>
      </c>
      <c r="I6" s="66" t="s">
        <v>44</v>
      </c>
      <c r="J6" s="66" t="s">
        <v>1682</v>
      </c>
      <c r="K6" s="178">
        <v>100</v>
      </c>
      <c r="L6" s="179">
        <v>100</v>
      </c>
      <c r="M6" s="54" t="s">
        <v>36</v>
      </c>
      <c r="N6" s="108" t="s">
        <v>37</v>
      </c>
      <c r="O6" s="54" t="s">
        <v>38</v>
      </c>
      <c r="P6" s="67" t="s">
        <v>42</v>
      </c>
      <c r="Q6" s="54" t="s">
        <v>1679</v>
      </c>
      <c r="R6" s="182">
        <v>100</v>
      </c>
      <c r="S6" s="178">
        <v>100</v>
      </c>
      <c r="T6" s="178">
        <v>100</v>
      </c>
      <c r="U6" s="183">
        <v>100</v>
      </c>
      <c r="V6" s="59">
        <v>502473920</v>
      </c>
      <c r="W6" s="60">
        <v>30722093040</v>
      </c>
      <c r="X6" s="60"/>
      <c r="Y6" s="60"/>
      <c r="Z6" s="60"/>
      <c r="AA6" s="61"/>
      <c r="AB6" s="62"/>
      <c r="AC6" s="60">
        <f>W6*1.04</f>
        <v>31950976761.600002</v>
      </c>
      <c r="AD6" s="60"/>
      <c r="AE6" s="60"/>
      <c r="AF6" s="60"/>
      <c r="AG6" s="60"/>
      <c r="AH6" s="63"/>
      <c r="AI6" s="62"/>
      <c r="AJ6" s="60">
        <f>AC6*1.04</f>
        <v>33229015832.064003</v>
      </c>
      <c r="AK6" s="60"/>
      <c r="AL6" s="60"/>
      <c r="AM6" s="60"/>
      <c r="AN6" s="60"/>
      <c r="AO6" s="63"/>
      <c r="AP6" s="62"/>
      <c r="AQ6" s="60">
        <f>AJ6*1.04</f>
        <v>34558176465.346565</v>
      </c>
      <c r="AR6" s="60"/>
      <c r="AS6" s="60"/>
      <c r="AT6" s="60"/>
      <c r="AU6" s="60"/>
      <c r="AV6" s="64"/>
      <c r="AW6" s="55">
        <f t="shared" si="0"/>
        <v>31224566960</v>
      </c>
      <c r="AX6" s="55">
        <f t="shared" si="1"/>
        <v>31950976761.600002</v>
      </c>
      <c r="AY6" s="55">
        <f t="shared" si="2"/>
        <v>33229015832.064003</v>
      </c>
      <c r="AZ6" s="55">
        <f t="shared" si="3"/>
        <v>34558176465.346565</v>
      </c>
      <c r="BA6" s="55">
        <f t="shared" si="4"/>
        <v>130962736019.01056</v>
      </c>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row>
    <row r="7" spans="1:133" s="6" customFormat="1" ht="252" x14ac:dyDescent="0.25">
      <c r="A7" s="148" t="s">
        <v>28</v>
      </c>
      <c r="B7" s="56" t="s">
        <v>29</v>
      </c>
      <c r="C7" s="110" t="s">
        <v>30</v>
      </c>
      <c r="D7" s="110" t="s">
        <v>31</v>
      </c>
      <c r="E7" s="111" t="s">
        <v>32</v>
      </c>
      <c r="F7" s="111" t="s">
        <v>33</v>
      </c>
      <c r="G7" s="108" t="s">
        <v>45</v>
      </c>
      <c r="H7" s="108" t="s">
        <v>1148</v>
      </c>
      <c r="I7" s="66" t="s">
        <v>46</v>
      </c>
      <c r="J7" s="66" t="s">
        <v>1683</v>
      </c>
      <c r="K7" s="178">
        <v>115946</v>
      </c>
      <c r="L7" s="178">
        <v>120000</v>
      </c>
      <c r="M7" s="54" t="s">
        <v>36</v>
      </c>
      <c r="N7" s="108" t="s">
        <v>37</v>
      </c>
      <c r="O7" s="54" t="s">
        <v>38</v>
      </c>
      <c r="P7" s="67" t="s">
        <v>1677</v>
      </c>
      <c r="Q7" s="166" t="s">
        <v>1679</v>
      </c>
      <c r="R7" s="182">
        <v>117000</v>
      </c>
      <c r="S7" s="178">
        <v>118000</v>
      </c>
      <c r="T7" s="178">
        <v>119000</v>
      </c>
      <c r="U7" s="183">
        <v>120000</v>
      </c>
      <c r="V7" s="59">
        <v>8289763363</v>
      </c>
      <c r="W7" s="60">
        <v>16049488201</v>
      </c>
      <c r="X7" s="60">
        <v>13480521209</v>
      </c>
      <c r="Y7" s="60"/>
      <c r="Z7" s="60"/>
      <c r="AA7" s="61"/>
      <c r="AB7" s="62">
        <v>11851884448.457647</v>
      </c>
      <c r="AC7" s="60">
        <v>18484078822.602299</v>
      </c>
      <c r="AD7" s="60">
        <v>10342101112.9401</v>
      </c>
      <c r="AE7" s="60"/>
      <c r="AF7" s="60"/>
      <c r="AG7" s="60"/>
      <c r="AH7" s="63"/>
      <c r="AI7" s="62">
        <v>12634779759.168102</v>
      </c>
      <c r="AJ7" s="60">
        <v>13969300852.2644</v>
      </c>
      <c r="AK7" s="60">
        <v>8487661525.5675001</v>
      </c>
      <c r="AL7" s="60"/>
      <c r="AM7" s="60"/>
      <c r="AN7" s="60"/>
      <c r="AO7" s="63"/>
      <c r="AP7" s="62">
        <v>8264707831.5614004</v>
      </c>
      <c r="AQ7" s="60">
        <v>15164330427.0005</v>
      </c>
      <c r="AR7" s="60">
        <v>10409394805.438101</v>
      </c>
      <c r="AS7" s="60"/>
      <c r="AT7" s="60"/>
      <c r="AU7" s="60"/>
      <c r="AV7" s="64"/>
      <c r="AW7" s="55">
        <f t="shared" si="0"/>
        <v>37819772773</v>
      </c>
      <c r="AX7" s="55">
        <f t="shared" si="1"/>
        <v>40678064384.000046</v>
      </c>
      <c r="AY7" s="55">
        <f t="shared" si="2"/>
        <v>35091742137</v>
      </c>
      <c r="AZ7" s="55">
        <f t="shared" si="3"/>
        <v>33838433064</v>
      </c>
      <c r="BA7" s="55">
        <f t="shared" si="4"/>
        <v>147428012358.00006</v>
      </c>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row>
    <row r="8" spans="1:133" s="15" customFormat="1" ht="252" x14ac:dyDescent="0.25">
      <c r="A8" s="148" t="s">
        <v>28</v>
      </c>
      <c r="B8" s="56" t="s">
        <v>29</v>
      </c>
      <c r="C8" s="110" t="s">
        <v>30</v>
      </c>
      <c r="D8" s="110" t="s">
        <v>31</v>
      </c>
      <c r="E8" s="111" t="s">
        <v>32</v>
      </c>
      <c r="F8" s="111" t="s">
        <v>33</v>
      </c>
      <c r="G8" s="108" t="s">
        <v>47</v>
      </c>
      <c r="H8" s="108" t="s">
        <v>1149</v>
      </c>
      <c r="I8" s="66" t="s">
        <v>48</v>
      </c>
      <c r="J8" s="66" t="s">
        <v>1683</v>
      </c>
      <c r="K8" s="178">
        <v>7280</v>
      </c>
      <c r="L8" s="178">
        <v>9000</v>
      </c>
      <c r="M8" s="54" t="s">
        <v>36</v>
      </c>
      <c r="N8" s="108" t="s">
        <v>37</v>
      </c>
      <c r="O8" s="54" t="s">
        <v>38</v>
      </c>
      <c r="P8" s="67" t="s">
        <v>1677</v>
      </c>
      <c r="Q8" s="166" t="s">
        <v>1679</v>
      </c>
      <c r="R8" s="182">
        <v>7280</v>
      </c>
      <c r="S8" s="178">
        <v>7853</v>
      </c>
      <c r="T8" s="178">
        <v>8426</v>
      </c>
      <c r="U8" s="183">
        <v>9000</v>
      </c>
      <c r="V8" s="59">
        <v>848000000</v>
      </c>
      <c r="W8" s="60">
        <v>3303214746</v>
      </c>
      <c r="X8" s="60"/>
      <c r="Y8" s="60"/>
      <c r="Z8" s="60"/>
      <c r="AA8" s="61"/>
      <c r="AB8" s="62"/>
      <c r="AC8" s="60">
        <v>5910150541</v>
      </c>
      <c r="AD8" s="60">
        <v>883125943</v>
      </c>
      <c r="AE8" s="60"/>
      <c r="AF8" s="60"/>
      <c r="AG8" s="60"/>
      <c r="AH8" s="63"/>
      <c r="AI8" s="62"/>
      <c r="AJ8" s="60">
        <v>6341389081</v>
      </c>
      <c r="AK8" s="60">
        <v>947563886</v>
      </c>
      <c r="AL8" s="60"/>
      <c r="AM8" s="60"/>
      <c r="AN8" s="60"/>
      <c r="AO8" s="63"/>
      <c r="AP8" s="62"/>
      <c r="AQ8" s="60">
        <v>6773380220</v>
      </c>
      <c r="AR8" s="60">
        <v>1012114286</v>
      </c>
      <c r="AS8" s="60"/>
      <c r="AT8" s="60"/>
      <c r="AU8" s="60"/>
      <c r="AV8" s="64"/>
      <c r="AW8" s="55">
        <f t="shared" si="0"/>
        <v>4151214746</v>
      </c>
      <c r="AX8" s="55">
        <f t="shared" si="1"/>
        <v>6793276484</v>
      </c>
      <c r="AY8" s="55">
        <f t="shared" si="2"/>
        <v>7288952967</v>
      </c>
      <c r="AZ8" s="55">
        <f t="shared" si="3"/>
        <v>7785494506</v>
      </c>
      <c r="BA8" s="55">
        <f t="shared" si="4"/>
        <v>26018938703</v>
      </c>
    </row>
    <row r="9" spans="1:133" s="15" customFormat="1" ht="252" x14ac:dyDescent="0.25">
      <c r="A9" s="148" t="s">
        <v>28</v>
      </c>
      <c r="B9" s="56" t="s">
        <v>29</v>
      </c>
      <c r="C9" s="110" t="s">
        <v>30</v>
      </c>
      <c r="D9" s="110" t="s">
        <v>31</v>
      </c>
      <c r="E9" s="111" t="s">
        <v>32</v>
      </c>
      <c r="F9" s="111" t="s">
        <v>33</v>
      </c>
      <c r="G9" s="66" t="s">
        <v>49</v>
      </c>
      <c r="H9" s="66" t="s">
        <v>1150</v>
      </c>
      <c r="I9" s="71" t="s">
        <v>50</v>
      </c>
      <c r="J9" s="71" t="s">
        <v>1682</v>
      </c>
      <c r="K9" s="178">
        <v>100</v>
      </c>
      <c r="L9" s="179">
        <v>100</v>
      </c>
      <c r="M9" s="54" t="s">
        <v>36</v>
      </c>
      <c r="N9" s="108" t="s">
        <v>37</v>
      </c>
      <c r="O9" s="54" t="s">
        <v>38</v>
      </c>
      <c r="P9" s="67" t="s">
        <v>42</v>
      </c>
      <c r="Q9" s="54" t="s">
        <v>1679</v>
      </c>
      <c r="R9" s="182">
        <v>100</v>
      </c>
      <c r="S9" s="178">
        <v>100</v>
      </c>
      <c r="T9" s="178">
        <v>100</v>
      </c>
      <c r="U9" s="183">
        <v>100</v>
      </c>
      <c r="V9" s="59">
        <f>400537624/2</f>
        <v>200268812</v>
      </c>
      <c r="W9" s="60">
        <f>(1238010496+573548924)/2</f>
        <v>905779710</v>
      </c>
      <c r="X9" s="60"/>
      <c r="Y9" s="60"/>
      <c r="Z9" s="60"/>
      <c r="AA9" s="61"/>
      <c r="AB9" s="62">
        <f>480645149/2</f>
        <v>240322574.5</v>
      </c>
      <c r="AC9" s="60">
        <f>+(1485612595+688258709)/2</f>
        <v>1086935652</v>
      </c>
      <c r="AD9" s="60"/>
      <c r="AE9" s="60"/>
      <c r="AF9" s="60"/>
      <c r="AG9" s="60"/>
      <c r="AH9" s="63"/>
      <c r="AI9" s="62">
        <f>576774179/2</f>
        <v>288387089.5</v>
      </c>
      <c r="AJ9" s="60">
        <f>+(1782735114+825910451)/2</f>
        <v>1304322782.5</v>
      </c>
      <c r="AK9" s="60"/>
      <c r="AL9" s="60"/>
      <c r="AM9" s="60"/>
      <c r="AN9" s="60"/>
      <c r="AO9" s="63"/>
      <c r="AP9" s="62">
        <f>692129015/2</f>
        <v>346064507.5</v>
      </c>
      <c r="AQ9" s="60">
        <f>+(2139282137+991092541)/2</f>
        <v>1565187339</v>
      </c>
      <c r="AR9" s="60"/>
      <c r="AS9" s="60"/>
      <c r="AT9" s="60"/>
      <c r="AU9" s="60"/>
      <c r="AV9" s="64"/>
      <c r="AW9" s="55">
        <f t="shared" si="0"/>
        <v>1106048522</v>
      </c>
      <c r="AX9" s="55">
        <f t="shared" si="1"/>
        <v>1327258226.5</v>
      </c>
      <c r="AY9" s="55">
        <f t="shared" si="2"/>
        <v>1592709872</v>
      </c>
      <c r="AZ9" s="55">
        <f t="shared" si="3"/>
        <v>1911251846.5</v>
      </c>
      <c r="BA9" s="55">
        <f t="shared" si="4"/>
        <v>5937268467</v>
      </c>
    </row>
    <row r="10" spans="1:133" s="15" customFormat="1" ht="252" x14ac:dyDescent="0.25">
      <c r="A10" s="148" t="s">
        <v>28</v>
      </c>
      <c r="B10" s="56" t="s">
        <v>29</v>
      </c>
      <c r="C10" s="110" t="s">
        <v>30</v>
      </c>
      <c r="D10" s="110" t="s">
        <v>31</v>
      </c>
      <c r="E10" s="111" t="s">
        <v>32</v>
      </c>
      <c r="F10" s="111" t="s">
        <v>33</v>
      </c>
      <c r="G10" s="66" t="s">
        <v>49</v>
      </c>
      <c r="H10" s="66" t="s">
        <v>1151</v>
      </c>
      <c r="I10" s="71" t="s">
        <v>51</v>
      </c>
      <c r="J10" s="71" t="s">
        <v>1682</v>
      </c>
      <c r="K10" s="178">
        <v>100</v>
      </c>
      <c r="L10" s="179">
        <v>100</v>
      </c>
      <c r="M10" s="54" t="s">
        <v>36</v>
      </c>
      <c r="N10" s="108" t="s">
        <v>37</v>
      </c>
      <c r="O10" s="54" t="s">
        <v>38</v>
      </c>
      <c r="P10" s="67" t="s">
        <v>42</v>
      </c>
      <c r="Q10" s="54" t="s">
        <v>1679</v>
      </c>
      <c r="R10" s="182">
        <v>100</v>
      </c>
      <c r="S10" s="178">
        <v>100</v>
      </c>
      <c r="T10" s="178">
        <v>100</v>
      </c>
      <c r="U10" s="183">
        <v>100</v>
      </c>
      <c r="V10" s="59">
        <f>400537624/2</f>
        <v>200268812</v>
      </c>
      <c r="W10" s="60">
        <f>(1238010496+573548924)/2</f>
        <v>905779710</v>
      </c>
      <c r="X10" s="60"/>
      <c r="Y10" s="60"/>
      <c r="Z10" s="60"/>
      <c r="AA10" s="61"/>
      <c r="AB10" s="62">
        <f>480645149/2</f>
        <v>240322574.5</v>
      </c>
      <c r="AC10" s="60">
        <f>+(1485612595+688258709)/2</f>
        <v>1086935652</v>
      </c>
      <c r="AD10" s="60"/>
      <c r="AE10" s="60"/>
      <c r="AF10" s="60"/>
      <c r="AG10" s="60"/>
      <c r="AH10" s="63"/>
      <c r="AI10" s="62">
        <f>576774179/2</f>
        <v>288387089.5</v>
      </c>
      <c r="AJ10" s="60">
        <f>+(1782735114+825910451)/2</f>
        <v>1304322782.5</v>
      </c>
      <c r="AK10" s="60"/>
      <c r="AL10" s="60"/>
      <c r="AM10" s="60"/>
      <c r="AN10" s="60"/>
      <c r="AO10" s="63"/>
      <c r="AP10" s="62">
        <f>692129015/2</f>
        <v>346064507.5</v>
      </c>
      <c r="AQ10" s="60">
        <f>+(2139282137+991092541)/2</f>
        <v>1565187339</v>
      </c>
      <c r="AR10" s="60"/>
      <c r="AS10" s="60"/>
      <c r="AT10" s="60"/>
      <c r="AU10" s="60"/>
      <c r="AV10" s="64"/>
      <c r="AW10" s="55">
        <f t="shared" si="0"/>
        <v>1106048522</v>
      </c>
      <c r="AX10" s="55">
        <f t="shared" si="1"/>
        <v>1327258226.5</v>
      </c>
      <c r="AY10" s="55">
        <f t="shared" si="2"/>
        <v>1592709872</v>
      </c>
      <c r="AZ10" s="55">
        <f t="shared" si="3"/>
        <v>1911251846.5</v>
      </c>
      <c r="BA10" s="55">
        <f t="shared" si="4"/>
        <v>5937268467</v>
      </c>
    </row>
    <row r="11" spans="1:133" s="15" customFormat="1" ht="94.5" x14ac:dyDescent="0.25">
      <c r="A11" s="148" t="s">
        <v>28</v>
      </c>
      <c r="B11" s="56" t="s">
        <v>29</v>
      </c>
      <c r="C11" s="56" t="s">
        <v>52</v>
      </c>
      <c r="D11" s="56" t="s">
        <v>53</v>
      </c>
      <c r="E11" s="89">
        <v>0.51</v>
      </c>
      <c r="F11" s="89">
        <v>0.53</v>
      </c>
      <c r="G11" s="108" t="s">
        <v>54</v>
      </c>
      <c r="H11" s="108" t="s">
        <v>1152</v>
      </c>
      <c r="I11" s="66" t="s">
        <v>55</v>
      </c>
      <c r="J11" s="66" t="s">
        <v>1682</v>
      </c>
      <c r="K11" s="178">
        <v>100</v>
      </c>
      <c r="L11" s="179">
        <v>100</v>
      </c>
      <c r="M11" s="54" t="s">
        <v>36</v>
      </c>
      <c r="N11" s="108" t="s">
        <v>37</v>
      </c>
      <c r="O11" s="54" t="s">
        <v>38</v>
      </c>
      <c r="P11" s="67" t="s">
        <v>42</v>
      </c>
      <c r="Q11" s="54" t="s">
        <v>1679</v>
      </c>
      <c r="R11" s="182">
        <v>100</v>
      </c>
      <c r="S11" s="178">
        <v>100</v>
      </c>
      <c r="T11" s="178">
        <v>100</v>
      </c>
      <c r="U11" s="183">
        <v>100</v>
      </c>
      <c r="V11" s="59"/>
      <c r="W11" s="60">
        <v>330000000</v>
      </c>
      <c r="X11" s="60"/>
      <c r="Y11" s="60"/>
      <c r="Z11" s="60"/>
      <c r="AA11" s="61"/>
      <c r="AB11" s="62">
        <v>0</v>
      </c>
      <c r="AC11" s="60">
        <v>345000000</v>
      </c>
      <c r="AD11" s="60"/>
      <c r="AE11" s="60"/>
      <c r="AF11" s="60"/>
      <c r="AG11" s="60"/>
      <c r="AH11" s="63"/>
      <c r="AI11" s="62">
        <v>0</v>
      </c>
      <c r="AJ11" s="60">
        <v>358800000</v>
      </c>
      <c r="AK11" s="60"/>
      <c r="AL11" s="60"/>
      <c r="AM11" s="60"/>
      <c r="AN11" s="60"/>
      <c r="AO11" s="63"/>
      <c r="AP11" s="62">
        <v>0</v>
      </c>
      <c r="AQ11" s="60">
        <v>373152000</v>
      </c>
      <c r="AR11" s="60"/>
      <c r="AS11" s="60"/>
      <c r="AT11" s="60"/>
      <c r="AU11" s="60"/>
      <c r="AV11" s="64"/>
      <c r="AW11" s="55">
        <f t="shared" si="0"/>
        <v>330000000</v>
      </c>
      <c r="AX11" s="55">
        <f t="shared" si="1"/>
        <v>345000000</v>
      </c>
      <c r="AY11" s="55">
        <f t="shared" si="2"/>
        <v>358800000</v>
      </c>
      <c r="AZ11" s="55">
        <f t="shared" si="3"/>
        <v>373152000</v>
      </c>
      <c r="BA11" s="55">
        <f t="shared" si="4"/>
        <v>1406952000</v>
      </c>
    </row>
    <row r="12" spans="1:133" s="3" customFormat="1" ht="78.75" x14ac:dyDescent="0.25">
      <c r="A12" s="148" t="s">
        <v>28</v>
      </c>
      <c r="B12" s="56" t="s">
        <v>29</v>
      </c>
      <c r="C12" s="56" t="s">
        <v>52</v>
      </c>
      <c r="D12" s="56" t="s">
        <v>53</v>
      </c>
      <c r="E12" s="89">
        <v>0.51</v>
      </c>
      <c r="F12" s="89">
        <v>0.53</v>
      </c>
      <c r="G12" s="109" t="s">
        <v>56</v>
      </c>
      <c r="H12" s="109" t="s">
        <v>1153</v>
      </c>
      <c r="I12" s="66" t="s">
        <v>57</v>
      </c>
      <c r="J12" s="66" t="s">
        <v>1682</v>
      </c>
      <c r="K12" s="178">
        <v>46.7</v>
      </c>
      <c r="L12" s="179">
        <v>55.000000000000007</v>
      </c>
      <c r="M12" s="54" t="s">
        <v>36</v>
      </c>
      <c r="N12" s="108" t="s">
        <v>37</v>
      </c>
      <c r="O12" s="54" t="s">
        <v>38</v>
      </c>
      <c r="P12" s="67" t="s">
        <v>1677</v>
      </c>
      <c r="Q12" s="166" t="s">
        <v>1679</v>
      </c>
      <c r="R12" s="182">
        <v>48</v>
      </c>
      <c r="S12" s="178">
        <v>50</v>
      </c>
      <c r="T12" s="178">
        <v>53</v>
      </c>
      <c r="U12" s="183">
        <v>55.000000000000007</v>
      </c>
      <c r="V12" s="59">
        <v>2500000000</v>
      </c>
      <c r="W12" s="60"/>
      <c r="X12" s="60"/>
      <c r="Y12" s="60"/>
      <c r="Z12" s="60"/>
      <c r="AA12" s="61"/>
      <c r="AB12" s="62">
        <v>999944050</v>
      </c>
      <c r="AC12" s="60">
        <v>5500000000</v>
      </c>
      <c r="AD12" s="60"/>
      <c r="AE12" s="60"/>
      <c r="AF12" s="60"/>
      <c r="AG12" s="60"/>
      <c r="AH12" s="63"/>
      <c r="AI12" s="62">
        <v>1039941812</v>
      </c>
      <c r="AJ12" s="60">
        <v>2720000000</v>
      </c>
      <c r="AK12" s="60"/>
      <c r="AL12" s="60"/>
      <c r="AM12" s="60"/>
      <c r="AN12" s="60"/>
      <c r="AO12" s="63"/>
      <c r="AP12" s="62">
        <v>1081539484.48</v>
      </c>
      <c r="AQ12" s="60">
        <v>3948800000</v>
      </c>
      <c r="AR12" s="60"/>
      <c r="AS12" s="60"/>
      <c r="AT12" s="60"/>
      <c r="AU12" s="60"/>
      <c r="AV12" s="64"/>
      <c r="AW12" s="55">
        <f t="shared" si="0"/>
        <v>2500000000</v>
      </c>
      <c r="AX12" s="55">
        <f t="shared" si="1"/>
        <v>6499944050</v>
      </c>
      <c r="AY12" s="55">
        <f t="shared" si="2"/>
        <v>3759941812</v>
      </c>
      <c r="AZ12" s="55">
        <f t="shared" si="3"/>
        <v>5030339484.4799995</v>
      </c>
      <c r="BA12" s="55">
        <f t="shared" si="4"/>
        <v>17790225346.48</v>
      </c>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row>
    <row r="13" spans="1:133" s="15" customFormat="1" ht="78.75" x14ac:dyDescent="0.25">
      <c r="A13" s="148" t="s">
        <v>28</v>
      </c>
      <c r="B13" s="56" t="s">
        <v>29</v>
      </c>
      <c r="C13" s="56" t="s">
        <v>52</v>
      </c>
      <c r="D13" s="56" t="s">
        <v>53</v>
      </c>
      <c r="E13" s="89">
        <v>0.51</v>
      </c>
      <c r="F13" s="89">
        <v>0.53</v>
      </c>
      <c r="G13" s="108" t="s">
        <v>58</v>
      </c>
      <c r="H13" s="108" t="s">
        <v>1154</v>
      </c>
      <c r="I13" s="66" t="s">
        <v>59</v>
      </c>
      <c r="J13" s="66" t="s">
        <v>1683</v>
      </c>
      <c r="K13" s="180">
        <v>148</v>
      </c>
      <c r="L13" s="180">
        <v>148</v>
      </c>
      <c r="M13" s="54" t="s">
        <v>36</v>
      </c>
      <c r="N13" s="100" t="s">
        <v>37</v>
      </c>
      <c r="O13" s="54" t="s">
        <v>38</v>
      </c>
      <c r="P13" s="67" t="s">
        <v>42</v>
      </c>
      <c r="Q13" s="54" t="s">
        <v>1679</v>
      </c>
      <c r="R13" s="182">
        <v>148</v>
      </c>
      <c r="S13" s="178">
        <v>148</v>
      </c>
      <c r="T13" s="178">
        <v>148</v>
      </c>
      <c r="U13" s="183">
        <v>148</v>
      </c>
      <c r="V13" s="59"/>
      <c r="W13" s="60">
        <v>1669000000</v>
      </c>
      <c r="X13" s="60"/>
      <c r="Y13" s="60"/>
      <c r="Z13" s="60"/>
      <c r="AA13" s="61"/>
      <c r="AB13" s="62">
        <v>1000000000</v>
      </c>
      <c r="AC13" s="60">
        <v>0</v>
      </c>
      <c r="AD13" s="60"/>
      <c r="AE13" s="60"/>
      <c r="AF13" s="60"/>
      <c r="AG13" s="60"/>
      <c r="AH13" s="63"/>
      <c r="AI13" s="62">
        <v>2900000000</v>
      </c>
      <c r="AJ13" s="60">
        <v>0</v>
      </c>
      <c r="AK13" s="60"/>
      <c r="AL13" s="60"/>
      <c r="AM13" s="60"/>
      <c r="AN13" s="60"/>
      <c r="AO13" s="63"/>
      <c r="AP13" s="62">
        <v>3016000000</v>
      </c>
      <c r="AQ13" s="60">
        <v>0</v>
      </c>
      <c r="AR13" s="60"/>
      <c r="AS13" s="60"/>
      <c r="AT13" s="60"/>
      <c r="AU13" s="60"/>
      <c r="AV13" s="64"/>
      <c r="AW13" s="55">
        <f t="shared" si="0"/>
        <v>1669000000</v>
      </c>
      <c r="AX13" s="55">
        <f t="shared" si="1"/>
        <v>1000000000</v>
      </c>
      <c r="AY13" s="55">
        <f t="shared" si="2"/>
        <v>2900000000</v>
      </c>
      <c r="AZ13" s="55">
        <f t="shared" si="3"/>
        <v>3016000000</v>
      </c>
      <c r="BA13" s="55">
        <f t="shared" si="4"/>
        <v>8585000000</v>
      </c>
    </row>
    <row r="14" spans="1:133" s="15" customFormat="1" ht="78.75" x14ac:dyDescent="0.25">
      <c r="A14" s="148" t="s">
        <v>28</v>
      </c>
      <c r="B14" s="56" t="s">
        <v>29</v>
      </c>
      <c r="C14" s="56" t="s">
        <v>52</v>
      </c>
      <c r="D14" s="56" t="s">
        <v>53</v>
      </c>
      <c r="E14" s="89">
        <v>0.51</v>
      </c>
      <c r="F14" s="89">
        <v>0.53</v>
      </c>
      <c r="G14" s="109" t="s">
        <v>60</v>
      </c>
      <c r="H14" s="109" t="s">
        <v>1155</v>
      </c>
      <c r="I14" s="68" t="s">
        <v>61</v>
      </c>
      <c r="J14" s="68" t="s">
        <v>1682</v>
      </c>
      <c r="K14" s="178">
        <v>68</v>
      </c>
      <c r="L14" s="179">
        <v>100</v>
      </c>
      <c r="M14" s="54" t="s">
        <v>36</v>
      </c>
      <c r="N14" s="100" t="s">
        <v>37</v>
      </c>
      <c r="O14" s="54" t="s">
        <v>38</v>
      </c>
      <c r="P14" s="70" t="s">
        <v>1677</v>
      </c>
      <c r="Q14" s="165" t="s">
        <v>1679</v>
      </c>
      <c r="R14" s="182">
        <v>99</v>
      </c>
      <c r="S14" s="178">
        <v>99</v>
      </c>
      <c r="T14" s="178">
        <v>99</v>
      </c>
      <c r="U14" s="183">
        <v>100</v>
      </c>
      <c r="V14" s="59"/>
      <c r="W14" s="60">
        <v>2627163295</v>
      </c>
      <c r="X14" s="60"/>
      <c r="Y14" s="60"/>
      <c r="Z14" s="60"/>
      <c r="AA14" s="61"/>
      <c r="AB14" s="62">
        <v>1800000000</v>
      </c>
      <c r="AC14" s="60">
        <v>2447438625</v>
      </c>
      <c r="AD14" s="60"/>
      <c r="AE14" s="60"/>
      <c r="AF14" s="60"/>
      <c r="AG14" s="60"/>
      <c r="AH14" s="63"/>
      <c r="AI14" s="62">
        <v>1908000000</v>
      </c>
      <c r="AJ14" s="60">
        <v>2545336170</v>
      </c>
      <c r="AK14" s="60"/>
      <c r="AL14" s="60"/>
      <c r="AM14" s="60"/>
      <c r="AN14" s="60"/>
      <c r="AO14" s="63"/>
      <c r="AP14" s="62">
        <v>2022480000</v>
      </c>
      <c r="AQ14" s="60">
        <v>2647149616.8000002</v>
      </c>
      <c r="AR14" s="60"/>
      <c r="AS14" s="60"/>
      <c r="AT14" s="60"/>
      <c r="AU14" s="60"/>
      <c r="AV14" s="64"/>
      <c r="AW14" s="55">
        <f t="shared" si="0"/>
        <v>2627163295</v>
      </c>
      <c r="AX14" s="55">
        <f t="shared" si="1"/>
        <v>4247438625</v>
      </c>
      <c r="AY14" s="55">
        <f t="shared" si="2"/>
        <v>4453336170</v>
      </c>
      <c r="AZ14" s="55">
        <f t="shared" si="3"/>
        <v>4669629616.8000002</v>
      </c>
      <c r="BA14" s="55">
        <f t="shared" si="4"/>
        <v>15997567706.799999</v>
      </c>
    </row>
    <row r="15" spans="1:133" s="17" customFormat="1" ht="78.75" x14ac:dyDescent="0.25">
      <c r="A15" s="148" t="s">
        <v>28</v>
      </c>
      <c r="B15" s="56" t="s">
        <v>29</v>
      </c>
      <c r="C15" s="56" t="s">
        <v>52</v>
      </c>
      <c r="D15" s="56" t="s">
        <v>53</v>
      </c>
      <c r="E15" s="89">
        <v>0.51</v>
      </c>
      <c r="F15" s="89">
        <v>0.53</v>
      </c>
      <c r="G15" s="109" t="s">
        <v>62</v>
      </c>
      <c r="H15" s="109" t="s">
        <v>1156</v>
      </c>
      <c r="I15" s="68" t="s">
        <v>63</v>
      </c>
      <c r="J15" s="68" t="s">
        <v>1682</v>
      </c>
      <c r="K15" s="178">
        <v>100</v>
      </c>
      <c r="L15" s="179">
        <v>100</v>
      </c>
      <c r="M15" s="54" t="s">
        <v>36</v>
      </c>
      <c r="N15" s="100" t="s">
        <v>37</v>
      </c>
      <c r="O15" s="54" t="s">
        <v>38</v>
      </c>
      <c r="P15" s="67" t="s">
        <v>42</v>
      </c>
      <c r="Q15" s="54" t="s">
        <v>1679</v>
      </c>
      <c r="R15" s="182">
        <v>100</v>
      </c>
      <c r="S15" s="178">
        <v>100</v>
      </c>
      <c r="T15" s="178">
        <v>100</v>
      </c>
      <c r="U15" s="183">
        <v>100</v>
      </c>
      <c r="V15" s="59"/>
      <c r="W15" s="60">
        <v>244000000</v>
      </c>
      <c r="X15" s="60"/>
      <c r="Y15" s="60"/>
      <c r="Z15" s="60"/>
      <c r="AA15" s="61"/>
      <c r="AB15" s="62">
        <f>824000000*0.67</f>
        <v>552080000</v>
      </c>
      <c r="AC15" s="60">
        <f>824000000*0.33</f>
        <v>271920000</v>
      </c>
      <c r="AD15" s="60"/>
      <c r="AE15" s="60"/>
      <c r="AF15" s="60"/>
      <c r="AG15" s="60"/>
      <c r="AH15" s="63"/>
      <c r="AI15" s="62">
        <f>848720000*0.67</f>
        <v>568642400</v>
      </c>
      <c r="AJ15" s="60">
        <f>848720000*0.33</f>
        <v>280077600</v>
      </c>
      <c r="AK15" s="60"/>
      <c r="AL15" s="60"/>
      <c r="AM15" s="60"/>
      <c r="AN15" s="60"/>
      <c r="AO15" s="63"/>
      <c r="AP15" s="62">
        <f>874181600*0.67</f>
        <v>585701672</v>
      </c>
      <c r="AQ15" s="60">
        <f>874181600*0.33</f>
        <v>288479928</v>
      </c>
      <c r="AR15" s="60"/>
      <c r="AS15" s="60"/>
      <c r="AT15" s="60"/>
      <c r="AU15" s="60"/>
      <c r="AV15" s="64"/>
      <c r="AW15" s="55">
        <f t="shared" si="0"/>
        <v>244000000</v>
      </c>
      <c r="AX15" s="55">
        <f t="shared" si="1"/>
        <v>824000000</v>
      </c>
      <c r="AY15" s="55">
        <f t="shared" si="2"/>
        <v>848720000</v>
      </c>
      <c r="AZ15" s="55">
        <f t="shared" si="3"/>
        <v>874181600</v>
      </c>
      <c r="BA15" s="55">
        <f t="shared" si="4"/>
        <v>2790901600</v>
      </c>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row>
    <row r="16" spans="1:133" s="2" customFormat="1" ht="78.75" x14ac:dyDescent="0.25">
      <c r="A16" s="148" t="s">
        <v>28</v>
      </c>
      <c r="B16" s="56" t="s">
        <v>29</v>
      </c>
      <c r="C16" s="56" t="s">
        <v>52</v>
      </c>
      <c r="D16" s="56" t="s">
        <v>53</v>
      </c>
      <c r="E16" s="89">
        <v>0.51</v>
      </c>
      <c r="F16" s="89">
        <v>0.53</v>
      </c>
      <c r="G16" s="108" t="s">
        <v>64</v>
      </c>
      <c r="H16" s="108" t="s">
        <v>1157</v>
      </c>
      <c r="I16" s="68" t="s">
        <v>65</v>
      </c>
      <c r="J16" s="68" t="s">
        <v>1682</v>
      </c>
      <c r="K16" s="178">
        <v>100</v>
      </c>
      <c r="L16" s="179">
        <v>100</v>
      </c>
      <c r="M16" s="54" t="s">
        <v>36</v>
      </c>
      <c r="N16" s="108" t="s">
        <v>37</v>
      </c>
      <c r="O16" s="54" t="s">
        <v>38</v>
      </c>
      <c r="P16" s="67" t="s">
        <v>42</v>
      </c>
      <c r="Q16" s="54" t="s">
        <v>1679</v>
      </c>
      <c r="R16" s="182">
        <v>100</v>
      </c>
      <c r="S16" s="178">
        <v>100</v>
      </c>
      <c r="T16" s="178">
        <v>100</v>
      </c>
      <c r="U16" s="183">
        <v>100</v>
      </c>
      <c r="V16" s="59">
        <v>500000000</v>
      </c>
      <c r="W16" s="60"/>
      <c r="X16" s="60"/>
      <c r="Y16" s="60"/>
      <c r="Z16" s="60"/>
      <c r="AA16" s="61"/>
      <c r="AB16" s="62">
        <v>2000000000</v>
      </c>
      <c r="AC16" s="60">
        <v>0</v>
      </c>
      <c r="AD16" s="60"/>
      <c r="AE16" s="60"/>
      <c r="AF16" s="60"/>
      <c r="AG16" s="60"/>
      <c r="AH16" s="63"/>
      <c r="AI16" s="62">
        <v>2080000000</v>
      </c>
      <c r="AJ16" s="60">
        <v>0</v>
      </c>
      <c r="AK16" s="60"/>
      <c r="AL16" s="60"/>
      <c r="AM16" s="60"/>
      <c r="AN16" s="60"/>
      <c r="AO16" s="63"/>
      <c r="AP16" s="62">
        <v>2163200000</v>
      </c>
      <c r="AQ16" s="60">
        <v>0</v>
      </c>
      <c r="AR16" s="60"/>
      <c r="AS16" s="60"/>
      <c r="AT16" s="60"/>
      <c r="AU16" s="60"/>
      <c r="AV16" s="64"/>
      <c r="AW16" s="55">
        <f t="shared" si="0"/>
        <v>500000000</v>
      </c>
      <c r="AX16" s="55">
        <f t="shared" si="1"/>
        <v>2000000000</v>
      </c>
      <c r="AY16" s="55">
        <f t="shared" si="2"/>
        <v>2080000000</v>
      </c>
      <c r="AZ16" s="55">
        <f t="shared" si="3"/>
        <v>2163200000</v>
      </c>
      <c r="BA16" s="55">
        <f t="shared" si="4"/>
        <v>6743200000</v>
      </c>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row>
    <row r="17" spans="1:133" s="20" customFormat="1" ht="78.75" x14ac:dyDescent="0.25">
      <c r="A17" s="148" t="s">
        <v>28</v>
      </c>
      <c r="B17" s="56" t="s">
        <v>29</v>
      </c>
      <c r="C17" s="56" t="s">
        <v>52</v>
      </c>
      <c r="D17" s="56" t="s">
        <v>53</v>
      </c>
      <c r="E17" s="89">
        <v>0.51</v>
      </c>
      <c r="F17" s="89">
        <v>0.53</v>
      </c>
      <c r="G17" s="108" t="s">
        <v>66</v>
      </c>
      <c r="H17" s="108" t="s">
        <v>1158</v>
      </c>
      <c r="I17" s="68" t="s">
        <v>67</v>
      </c>
      <c r="J17" s="68" t="s">
        <v>1683</v>
      </c>
      <c r="K17" s="180">
        <v>228</v>
      </c>
      <c r="L17" s="180">
        <v>865</v>
      </c>
      <c r="M17" s="54" t="s">
        <v>36</v>
      </c>
      <c r="N17" s="108" t="s">
        <v>37</v>
      </c>
      <c r="O17" s="54" t="s">
        <v>38</v>
      </c>
      <c r="P17" s="70" t="s">
        <v>39</v>
      </c>
      <c r="Q17" s="165" t="s">
        <v>1680</v>
      </c>
      <c r="R17" s="182">
        <v>222</v>
      </c>
      <c r="S17" s="178">
        <v>116</v>
      </c>
      <c r="T17" s="178">
        <v>82</v>
      </c>
      <c r="U17" s="183">
        <v>445</v>
      </c>
      <c r="V17" s="59">
        <v>12118750000</v>
      </c>
      <c r="W17" s="60"/>
      <c r="X17" s="60"/>
      <c r="Y17" s="60"/>
      <c r="Z17" s="60"/>
      <c r="AA17" s="61"/>
      <c r="AB17" s="62">
        <v>14056730982</v>
      </c>
      <c r="AC17" s="60">
        <v>0</v>
      </c>
      <c r="AD17" s="60"/>
      <c r="AE17" s="60"/>
      <c r="AF17" s="60"/>
      <c r="AG17" s="60"/>
      <c r="AH17" s="63"/>
      <c r="AI17" s="62">
        <v>19766004707</v>
      </c>
      <c r="AJ17" s="60">
        <v>0</v>
      </c>
      <c r="AK17" s="60"/>
      <c r="AL17" s="60"/>
      <c r="AM17" s="60"/>
      <c r="AN17" s="60"/>
      <c r="AO17" s="63"/>
      <c r="AP17" s="62">
        <f>10089232527*1</f>
        <v>10089232527</v>
      </c>
      <c r="AQ17" s="60"/>
      <c r="AR17" s="60"/>
      <c r="AS17" s="60"/>
      <c r="AT17" s="60"/>
      <c r="AU17" s="60"/>
      <c r="AV17" s="64"/>
      <c r="AW17" s="55">
        <f t="shared" si="0"/>
        <v>12118750000</v>
      </c>
      <c r="AX17" s="55">
        <f t="shared" si="1"/>
        <v>14056730982</v>
      </c>
      <c r="AY17" s="55">
        <f t="shared" si="2"/>
        <v>19766004707</v>
      </c>
      <c r="AZ17" s="55">
        <f t="shared" si="3"/>
        <v>10089232527</v>
      </c>
      <c r="BA17" s="55">
        <f t="shared" si="4"/>
        <v>56030718216</v>
      </c>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row>
    <row r="18" spans="1:133" s="17" customFormat="1" ht="94.5" x14ac:dyDescent="0.25">
      <c r="A18" s="148" t="s">
        <v>28</v>
      </c>
      <c r="B18" s="56" t="s">
        <v>29</v>
      </c>
      <c r="C18" s="56" t="s">
        <v>52</v>
      </c>
      <c r="D18" s="56" t="s">
        <v>53</v>
      </c>
      <c r="E18" s="89">
        <v>0.51</v>
      </c>
      <c r="F18" s="89">
        <v>0.53</v>
      </c>
      <c r="G18" s="108" t="s">
        <v>68</v>
      </c>
      <c r="H18" s="108" t="s">
        <v>1159</v>
      </c>
      <c r="I18" s="68" t="s">
        <v>69</v>
      </c>
      <c r="J18" s="68" t="s">
        <v>1683</v>
      </c>
      <c r="K18" s="178">
        <v>0</v>
      </c>
      <c r="L18" s="178">
        <v>8</v>
      </c>
      <c r="M18" s="54" t="s">
        <v>36</v>
      </c>
      <c r="N18" s="108" t="s">
        <v>37</v>
      </c>
      <c r="O18" s="54" t="s">
        <v>38</v>
      </c>
      <c r="P18" s="72" t="s">
        <v>39</v>
      </c>
      <c r="Q18" s="165" t="s">
        <v>1680</v>
      </c>
      <c r="R18" s="182">
        <v>0</v>
      </c>
      <c r="S18" s="178">
        <v>0</v>
      </c>
      <c r="T18" s="178">
        <v>0</v>
      </c>
      <c r="U18" s="183">
        <v>8</v>
      </c>
      <c r="V18" s="59"/>
      <c r="W18" s="60"/>
      <c r="X18" s="60"/>
      <c r="Y18" s="60"/>
      <c r="Z18" s="60"/>
      <c r="AA18" s="61"/>
      <c r="AB18" s="62"/>
      <c r="AC18" s="60"/>
      <c r="AD18" s="60"/>
      <c r="AE18" s="60"/>
      <c r="AF18" s="60"/>
      <c r="AG18" s="60"/>
      <c r="AH18" s="63"/>
      <c r="AI18" s="62">
        <v>0</v>
      </c>
      <c r="AJ18" s="60">
        <v>0</v>
      </c>
      <c r="AK18" s="60"/>
      <c r="AL18" s="60"/>
      <c r="AM18" s="60"/>
      <c r="AN18" s="60"/>
      <c r="AO18" s="63"/>
      <c r="AP18" s="62">
        <f>8965798994*1</f>
        <v>8965798994</v>
      </c>
      <c r="AQ18" s="60"/>
      <c r="AR18" s="60"/>
      <c r="AS18" s="60"/>
      <c r="AT18" s="60"/>
      <c r="AU18" s="60"/>
      <c r="AV18" s="64"/>
      <c r="AW18" s="55">
        <f t="shared" si="0"/>
        <v>0</v>
      </c>
      <c r="AX18" s="55">
        <f t="shared" si="1"/>
        <v>0</v>
      </c>
      <c r="AY18" s="55">
        <f t="shared" si="2"/>
        <v>0</v>
      </c>
      <c r="AZ18" s="55">
        <f t="shared" si="3"/>
        <v>8965798994</v>
      </c>
      <c r="BA18" s="55">
        <f t="shared" si="4"/>
        <v>8965798994</v>
      </c>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row>
    <row r="19" spans="1:133" s="2" customFormat="1" ht="78.75" x14ac:dyDescent="0.25">
      <c r="A19" s="148" t="s">
        <v>28</v>
      </c>
      <c r="B19" s="56" t="s">
        <v>29</v>
      </c>
      <c r="C19" s="56" t="s">
        <v>52</v>
      </c>
      <c r="D19" s="56" t="s">
        <v>53</v>
      </c>
      <c r="E19" s="89">
        <v>0.51</v>
      </c>
      <c r="F19" s="89">
        <v>0.53</v>
      </c>
      <c r="G19" s="108" t="s">
        <v>70</v>
      </c>
      <c r="H19" s="108" t="s">
        <v>1160</v>
      </c>
      <c r="I19" s="68" t="s">
        <v>71</v>
      </c>
      <c r="J19" s="68" t="s">
        <v>1683</v>
      </c>
      <c r="K19" s="180">
        <v>42954</v>
      </c>
      <c r="L19" s="180">
        <v>46000</v>
      </c>
      <c r="M19" s="54" t="s">
        <v>36</v>
      </c>
      <c r="N19" s="108" t="s">
        <v>37</v>
      </c>
      <c r="O19" s="54" t="s">
        <v>38</v>
      </c>
      <c r="P19" s="70" t="s">
        <v>1677</v>
      </c>
      <c r="Q19" s="165" t="s">
        <v>1679</v>
      </c>
      <c r="R19" s="182">
        <v>43501</v>
      </c>
      <c r="S19" s="178">
        <v>44501</v>
      </c>
      <c r="T19" s="178">
        <v>45311</v>
      </c>
      <c r="U19" s="183">
        <v>46000</v>
      </c>
      <c r="V19" s="59">
        <v>0</v>
      </c>
      <c r="W19" s="60"/>
      <c r="X19" s="60">
        <v>33364680</v>
      </c>
      <c r="Y19" s="60"/>
      <c r="Z19" s="60"/>
      <c r="AA19" s="61"/>
      <c r="AB19" s="62">
        <v>100000000</v>
      </c>
      <c r="AC19" s="60">
        <v>0</v>
      </c>
      <c r="AD19" s="60"/>
      <c r="AE19" s="60"/>
      <c r="AF19" s="60"/>
      <c r="AG19" s="60"/>
      <c r="AH19" s="63"/>
      <c r="AI19" s="62">
        <v>104000000</v>
      </c>
      <c r="AJ19" s="60">
        <v>0</v>
      </c>
      <c r="AK19" s="60"/>
      <c r="AL19" s="60"/>
      <c r="AM19" s="60"/>
      <c r="AN19" s="60"/>
      <c r="AO19" s="63"/>
      <c r="AP19" s="62">
        <v>108160000</v>
      </c>
      <c r="AQ19" s="60">
        <v>0</v>
      </c>
      <c r="AR19" s="60"/>
      <c r="AS19" s="60"/>
      <c r="AT19" s="60"/>
      <c r="AU19" s="60"/>
      <c r="AV19" s="64"/>
      <c r="AW19" s="55">
        <f t="shared" si="0"/>
        <v>33364680</v>
      </c>
      <c r="AX19" s="55">
        <f t="shared" si="1"/>
        <v>100000000</v>
      </c>
      <c r="AY19" s="55">
        <f t="shared" si="2"/>
        <v>104000000</v>
      </c>
      <c r="AZ19" s="55">
        <f t="shared" si="3"/>
        <v>108160000</v>
      </c>
      <c r="BA19" s="55">
        <f t="shared" si="4"/>
        <v>345524680</v>
      </c>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row>
    <row r="20" spans="1:133" s="17" customFormat="1" ht="78.75" x14ac:dyDescent="0.25">
      <c r="A20" s="148" t="s">
        <v>28</v>
      </c>
      <c r="B20" s="56" t="s">
        <v>29</v>
      </c>
      <c r="C20" s="56" t="s">
        <v>52</v>
      </c>
      <c r="D20" s="56" t="s">
        <v>53</v>
      </c>
      <c r="E20" s="89">
        <v>0.51</v>
      </c>
      <c r="F20" s="89">
        <v>0.53</v>
      </c>
      <c r="G20" s="66" t="s">
        <v>72</v>
      </c>
      <c r="H20" s="66" t="s">
        <v>1161</v>
      </c>
      <c r="I20" s="68" t="s">
        <v>73</v>
      </c>
      <c r="J20" s="68" t="s">
        <v>1682</v>
      </c>
      <c r="K20" s="178">
        <v>100</v>
      </c>
      <c r="L20" s="179">
        <v>100</v>
      </c>
      <c r="M20" s="54" t="s">
        <v>36</v>
      </c>
      <c r="N20" s="108" t="s">
        <v>37</v>
      </c>
      <c r="O20" s="54" t="s">
        <v>38</v>
      </c>
      <c r="P20" s="67" t="s">
        <v>42</v>
      </c>
      <c r="Q20" s="54" t="s">
        <v>1679</v>
      </c>
      <c r="R20" s="182">
        <v>100</v>
      </c>
      <c r="S20" s="178">
        <v>100</v>
      </c>
      <c r="T20" s="178">
        <v>100</v>
      </c>
      <c r="U20" s="183">
        <v>100</v>
      </c>
      <c r="V20" s="59">
        <v>1225600000</v>
      </c>
      <c r="W20" s="60"/>
      <c r="X20" s="60">
        <v>4668177738</v>
      </c>
      <c r="Y20" s="60"/>
      <c r="Z20" s="60"/>
      <c r="AA20" s="61"/>
      <c r="AB20" s="62">
        <v>300000000</v>
      </c>
      <c r="AC20" s="60">
        <v>0</v>
      </c>
      <c r="AD20" s="60"/>
      <c r="AE20" s="60"/>
      <c r="AF20" s="60"/>
      <c r="AG20" s="60"/>
      <c r="AH20" s="63"/>
      <c r="AI20" s="62">
        <v>600000000</v>
      </c>
      <c r="AJ20" s="60"/>
      <c r="AK20" s="60"/>
      <c r="AL20" s="60"/>
      <c r="AM20" s="60"/>
      <c r="AN20" s="60"/>
      <c r="AO20" s="63"/>
      <c r="AP20" s="62">
        <v>624000000</v>
      </c>
      <c r="AQ20" s="60">
        <v>0</v>
      </c>
      <c r="AR20" s="60"/>
      <c r="AS20" s="60"/>
      <c r="AT20" s="60"/>
      <c r="AU20" s="60"/>
      <c r="AV20" s="64"/>
      <c r="AW20" s="55">
        <f t="shared" si="0"/>
        <v>5893777738</v>
      </c>
      <c r="AX20" s="55">
        <f t="shared" si="1"/>
        <v>300000000</v>
      </c>
      <c r="AY20" s="55">
        <f t="shared" si="2"/>
        <v>600000000</v>
      </c>
      <c r="AZ20" s="55">
        <f t="shared" si="3"/>
        <v>624000000</v>
      </c>
      <c r="BA20" s="55">
        <f t="shared" si="4"/>
        <v>7417777738</v>
      </c>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row>
    <row r="21" spans="1:133" s="22" customFormat="1" ht="141.75" x14ac:dyDescent="0.25">
      <c r="A21" s="148" t="s">
        <v>28</v>
      </c>
      <c r="B21" s="56" t="s">
        <v>29</v>
      </c>
      <c r="C21" s="56" t="s">
        <v>52</v>
      </c>
      <c r="D21" s="56" t="s">
        <v>53</v>
      </c>
      <c r="E21" s="89">
        <v>0.51</v>
      </c>
      <c r="F21" s="89">
        <v>0.53</v>
      </c>
      <c r="G21" s="66" t="s">
        <v>72</v>
      </c>
      <c r="H21" s="66" t="s">
        <v>1162</v>
      </c>
      <c r="I21" s="68" t="s">
        <v>74</v>
      </c>
      <c r="J21" s="68" t="s">
        <v>1682</v>
      </c>
      <c r="K21" s="178" t="s">
        <v>41</v>
      </c>
      <c r="L21" s="179">
        <v>100</v>
      </c>
      <c r="M21" s="54" t="s">
        <v>36</v>
      </c>
      <c r="N21" s="108" t="s">
        <v>37</v>
      </c>
      <c r="O21" s="54" t="s">
        <v>38</v>
      </c>
      <c r="P21" s="72" t="s">
        <v>39</v>
      </c>
      <c r="Q21" s="167" t="s">
        <v>1679</v>
      </c>
      <c r="R21" s="182">
        <v>25</v>
      </c>
      <c r="S21" s="178">
        <v>50</v>
      </c>
      <c r="T21" s="178">
        <v>75</v>
      </c>
      <c r="U21" s="183">
        <v>100</v>
      </c>
      <c r="V21" s="59">
        <v>5094128932</v>
      </c>
      <c r="W21" s="60">
        <v>5671470940</v>
      </c>
      <c r="X21" s="60">
        <v>1530918012</v>
      </c>
      <c r="Y21" s="60"/>
      <c r="Z21" s="60"/>
      <c r="AA21" s="61"/>
      <c r="AB21" s="62">
        <v>300000000</v>
      </c>
      <c r="AC21" s="60"/>
      <c r="AD21" s="60"/>
      <c r="AE21" s="60"/>
      <c r="AF21" s="60"/>
      <c r="AG21" s="60"/>
      <c r="AH21" s="63"/>
      <c r="AI21" s="62">
        <v>600000000</v>
      </c>
      <c r="AJ21" s="60"/>
      <c r="AK21" s="60"/>
      <c r="AL21" s="60"/>
      <c r="AM21" s="60"/>
      <c r="AN21" s="60"/>
      <c r="AO21" s="63"/>
      <c r="AP21" s="62">
        <v>624000000</v>
      </c>
      <c r="AQ21" s="60"/>
      <c r="AR21" s="60"/>
      <c r="AS21" s="60"/>
      <c r="AT21" s="60"/>
      <c r="AU21" s="60"/>
      <c r="AV21" s="64"/>
      <c r="AW21" s="55">
        <f t="shared" si="0"/>
        <v>12296517884</v>
      </c>
      <c r="AX21" s="55">
        <f t="shared" si="1"/>
        <v>300000000</v>
      </c>
      <c r="AY21" s="55">
        <f t="shared" si="2"/>
        <v>600000000</v>
      </c>
      <c r="AZ21" s="55">
        <f t="shared" si="3"/>
        <v>624000000</v>
      </c>
      <c r="BA21" s="55">
        <f t="shared" si="4"/>
        <v>13820517884</v>
      </c>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row>
    <row r="22" spans="1:133" s="24" customFormat="1" ht="78.75" x14ac:dyDescent="0.25">
      <c r="A22" s="148" t="s">
        <v>28</v>
      </c>
      <c r="B22" s="56" t="s">
        <v>29</v>
      </c>
      <c r="C22" s="56" t="s">
        <v>52</v>
      </c>
      <c r="D22" s="56" t="s">
        <v>53</v>
      </c>
      <c r="E22" s="89">
        <v>0.51</v>
      </c>
      <c r="F22" s="89">
        <v>0.53</v>
      </c>
      <c r="G22" s="108" t="s">
        <v>75</v>
      </c>
      <c r="H22" s="108" t="s">
        <v>1163</v>
      </c>
      <c r="I22" s="68" t="s">
        <v>76</v>
      </c>
      <c r="J22" s="68" t="s">
        <v>1683</v>
      </c>
      <c r="K22" s="180">
        <v>0</v>
      </c>
      <c r="L22" s="180">
        <v>154</v>
      </c>
      <c r="M22" s="54" t="s">
        <v>36</v>
      </c>
      <c r="N22" s="100" t="s">
        <v>37</v>
      </c>
      <c r="O22" s="54" t="s">
        <v>38</v>
      </c>
      <c r="P22" s="70" t="s">
        <v>39</v>
      </c>
      <c r="Q22" s="165" t="s">
        <v>1679</v>
      </c>
      <c r="R22" s="182">
        <v>40</v>
      </c>
      <c r="S22" s="178">
        <v>80</v>
      </c>
      <c r="T22" s="178">
        <v>120</v>
      </c>
      <c r="U22" s="183">
        <v>154</v>
      </c>
      <c r="V22" s="59">
        <v>1396000000</v>
      </c>
      <c r="W22" s="60">
        <v>500000000</v>
      </c>
      <c r="X22" s="60"/>
      <c r="Y22" s="60"/>
      <c r="Z22" s="60"/>
      <c r="AA22" s="61"/>
      <c r="AB22" s="62">
        <v>5081000000</v>
      </c>
      <c r="AC22" s="60">
        <v>0</v>
      </c>
      <c r="AD22" s="60"/>
      <c r="AE22" s="60"/>
      <c r="AF22" s="60"/>
      <c r="AG22" s="60"/>
      <c r="AH22" s="63"/>
      <c r="AI22" s="62">
        <v>2909091224</v>
      </c>
      <c r="AJ22" s="60">
        <v>0</v>
      </c>
      <c r="AK22" s="60"/>
      <c r="AL22" s="60"/>
      <c r="AM22" s="60"/>
      <c r="AN22" s="60"/>
      <c r="AO22" s="63"/>
      <c r="AP22" s="62">
        <v>9157091224</v>
      </c>
      <c r="AQ22" s="60">
        <v>0</v>
      </c>
      <c r="AR22" s="60"/>
      <c r="AS22" s="60"/>
      <c r="AT22" s="60"/>
      <c r="AU22" s="60"/>
      <c r="AV22" s="64"/>
      <c r="AW22" s="55">
        <f t="shared" si="0"/>
        <v>1896000000</v>
      </c>
      <c r="AX22" s="55">
        <f t="shared" si="1"/>
        <v>5081000000</v>
      </c>
      <c r="AY22" s="55">
        <f t="shared" si="2"/>
        <v>2909091224</v>
      </c>
      <c r="AZ22" s="55">
        <f t="shared" si="3"/>
        <v>9157091224</v>
      </c>
      <c r="BA22" s="55">
        <f t="shared" si="4"/>
        <v>19043182448</v>
      </c>
    </row>
    <row r="23" spans="1:133" s="17" customFormat="1" ht="78.75" x14ac:dyDescent="0.25">
      <c r="A23" s="148" t="s">
        <v>28</v>
      </c>
      <c r="B23" s="56" t="s">
        <v>29</v>
      </c>
      <c r="C23" s="56" t="s">
        <v>52</v>
      </c>
      <c r="D23" s="56" t="s">
        <v>53</v>
      </c>
      <c r="E23" s="89">
        <v>0.51</v>
      </c>
      <c r="F23" s="89">
        <v>0.53</v>
      </c>
      <c r="G23" s="66" t="s">
        <v>77</v>
      </c>
      <c r="H23" s="66" t="s">
        <v>1164</v>
      </c>
      <c r="I23" s="68" t="s">
        <v>78</v>
      </c>
      <c r="J23" s="68" t="s">
        <v>1683</v>
      </c>
      <c r="K23" s="178">
        <v>48</v>
      </c>
      <c r="L23" s="178">
        <v>80</v>
      </c>
      <c r="M23" s="54" t="s">
        <v>36</v>
      </c>
      <c r="N23" s="108" t="s">
        <v>37</v>
      </c>
      <c r="O23" s="54" t="s">
        <v>38</v>
      </c>
      <c r="P23" s="72" t="s">
        <v>39</v>
      </c>
      <c r="Q23" s="167" t="s">
        <v>1680</v>
      </c>
      <c r="R23" s="182">
        <v>20</v>
      </c>
      <c r="S23" s="178">
        <v>20</v>
      </c>
      <c r="T23" s="178">
        <v>20</v>
      </c>
      <c r="U23" s="183">
        <v>20</v>
      </c>
      <c r="V23" s="59"/>
      <c r="W23" s="60">
        <v>629285379</v>
      </c>
      <c r="X23" s="60"/>
      <c r="Y23" s="60"/>
      <c r="Z23" s="60"/>
      <c r="AA23" s="61"/>
      <c r="AB23" s="62"/>
      <c r="AC23" s="60">
        <v>1000000000</v>
      </c>
      <c r="AD23" s="60"/>
      <c r="AE23" s="60"/>
      <c r="AF23" s="60"/>
      <c r="AG23" s="60"/>
      <c r="AH23" s="63"/>
      <c r="AI23" s="62"/>
      <c r="AJ23" s="60">
        <f>(AC23*0.04)+AC23</f>
        <v>1040000000</v>
      </c>
      <c r="AK23" s="60"/>
      <c r="AL23" s="60"/>
      <c r="AM23" s="60"/>
      <c r="AN23" s="60"/>
      <c r="AO23" s="63"/>
      <c r="AP23" s="62"/>
      <c r="AQ23" s="60">
        <f>(0.04*AJ23)+AJ23</f>
        <v>1081600000</v>
      </c>
      <c r="AR23" s="60"/>
      <c r="AS23" s="60"/>
      <c r="AT23" s="60"/>
      <c r="AU23" s="60"/>
      <c r="AV23" s="64"/>
      <c r="AW23" s="55">
        <f t="shared" si="0"/>
        <v>629285379</v>
      </c>
      <c r="AX23" s="55">
        <f t="shared" si="1"/>
        <v>1000000000</v>
      </c>
      <c r="AY23" s="55">
        <f t="shared" si="2"/>
        <v>1040000000</v>
      </c>
      <c r="AZ23" s="55">
        <f t="shared" si="3"/>
        <v>1081600000</v>
      </c>
      <c r="BA23" s="55">
        <f t="shared" si="4"/>
        <v>3750885379</v>
      </c>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row>
    <row r="24" spans="1:133" s="8" customFormat="1" ht="78.75" x14ac:dyDescent="0.25">
      <c r="A24" s="148" t="s">
        <v>28</v>
      </c>
      <c r="B24" s="56" t="s">
        <v>29</v>
      </c>
      <c r="C24" s="56" t="s">
        <v>52</v>
      </c>
      <c r="D24" s="56" t="s">
        <v>53</v>
      </c>
      <c r="E24" s="89">
        <v>0.51</v>
      </c>
      <c r="F24" s="89">
        <v>0.53</v>
      </c>
      <c r="G24" s="66" t="s">
        <v>77</v>
      </c>
      <c r="H24" s="66" t="s">
        <v>1165</v>
      </c>
      <c r="I24" s="68" t="s">
        <v>79</v>
      </c>
      <c r="J24" s="68" t="s">
        <v>1683</v>
      </c>
      <c r="K24" s="180">
        <v>8</v>
      </c>
      <c r="L24" s="180">
        <v>5</v>
      </c>
      <c r="M24" s="54" t="s">
        <v>36</v>
      </c>
      <c r="N24" s="108" t="s">
        <v>37</v>
      </c>
      <c r="O24" s="54" t="s">
        <v>38</v>
      </c>
      <c r="P24" s="70" t="s">
        <v>1678</v>
      </c>
      <c r="Q24" s="165" t="s">
        <v>1679</v>
      </c>
      <c r="R24" s="182">
        <v>7</v>
      </c>
      <c r="S24" s="178">
        <v>7</v>
      </c>
      <c r="T24" s="178">
        <v>6</v>
      </c>
      <c r="U24" s="183">
        <v>5</v>
      </c>
      <c r="V24" s="59">
        <v>835000000</v>
      </c>
      <c r="W24" s="60">
        <v>500000000</v>
      </c>
      <c r="X24" s="60"/>
      <c r="Y24" s="60"/>
      <c r="Z24" s="60"/>
      <c r="AA24" s="61"/>
      <c r="AB24" s="62">
        <v>3500000000</v>
      </c>
      <c r="AC24" s="60"/>
      <c r="AD24" s="60"/>
      <c r="AE24" s="60"/>
      <c r="AF24" s="60"/>
      <c r="AG24" s="60"/>
      <c r="AH24" s="63"/>
      <c r="AI24" s="62">
        <f>(AB24*0.04)+AB24</f>
        <v>3640000000</v>
      </c>
      <c r="AJ24" s="60"/>
      <c r="AK24" s="60"/>
      <c r="AL24" s="60"/>
      <c r="AM24" s="60"/>
      <c r="AN24" s="60"/>
      <c r="AO24" s="63"/>
      <c r="AP24" s="62">
        <f>(AI24*0.04)+AI24</f>
        <v>3785600000</v>
      </c>
      <c r="AQ24" s="60"/>
      <c r="AR24" s="60"/>
      <c r="AS24" s="60"/>
      <c r="AT24" s="60"/>
      <c r="AU24" s="60"/>
      <c r="AV24" s="64"/>
      <c r="AW24" s="55">
        <f t="shared" si="0"/>
        <v>1335000000</v>
      </c>
      <c r="AX24" s="55">
        <f t="shared" si="1"/>
        <v>3500000000</v>
      </c>
      <c r="AY24" s="55">
        <f t="shared" si="2"/>
        <v>3640000000</v>
      </c>
      <c r="AZ24" s="55">
        <f t="shared" si="3"/>
        <v>3785600000</v>
      </c>
      <c r="BA24" s="55">
        <f t="shared" si="4"/>
        <v>12260600000</v>
      </c>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row>
    <row r="25" spans="1:133" s="22" customFormat="1" ht="78.75" x14ac:dyDescent="0.25">
      <c r="A25" s="148" t="s">
        <v>28</v>
      </c>
      <c r="B25" s="56" t="s">
        <v>29</v>
      </c>
      <c r="C25" s="56" t="s">
        <v>80</v>
      </c>
      <c r="D25" s="56" t="s">
        <v>53</v>
      </c>
      <c r="E25" s="89">
        <v>0.51</v>
      </c>
      <c r="F25" s="89">
        <v>0.53</v>
      </c>
      <c r="G25" s="108" t="s">
        <v>81</v>
      </c>
      <c r="H25" s="108" t="s">
        <v>1166</v>
      </c>
      <c r="I25" s="68" t="s">
        <v>82</v>
      </c>
      <c r="J25" s="68" t="s">
        <v>1683</v>
      </c>
      <c r="K25" s="178">
        <v>151</v>
      </c>
      <c r="L25" s="178">
        <v>151</v>
      </c>
      <c r="M25" s="54" t="s">
        <v>36</v>
      </c>
      <c r="N25" s="108" t="s">
        <v>37</v>
      </c>
      <c r="O25" s="54" t="s">
        <v>38</v>
      </c>
      <c r="P25" s="67" t="s">
        <v>42</v>
      </c>
      <c r="Q25" s="54" t="s">
        <v>1679</v>
      </c>
      <c r="R25" s="182">
        <v>151</v>
      </c>
      <c r="S25" s="178">
        <v>151</v>
      </c>
      <c r="T25" s="178">
        <v>151</v>
      </c>
      <c r="U25" s="183">
        <v>151</v>
      </c>
      <c r="V25" s="59">
        <v>782520225</v>
      </c>
      <c r="W25" s="60">
        <v>2975389010</v>
      </c>
      <c r="X25" s="60"/>
      <c r="Y25" s="60"/>
      <c r="Z25" s="60"/>
      <c r="AA25" s="61"/>
      <c r="AB25" s="62">
        <v>782520225</v>
      </c>
      <c r="AC25" s="60">
        <v>2325147295</v>
      </c>
      <c r="AD25" s="60"/>
      <c r="AE25" s="60"/>
      <c r="AF25" s="60"/>
      <c r="AG25" s="60"/>
      <c r="AH25" s="63"/>
      <c r="AI25" s="62">
        <v>813821034</v>
      </c>
      <c r="AJ25" s="60">
        <v>2418153186.8000002</v>
      </c>
      <c r="AK25" s="60"/>
      <c r="AL25" s="60"/>
      <c r="AM25" s="60"/>
      <c r="AN25" s="60"/>
      <c r="AO25" s="63"/>
      <c r="AP25" s="62"/>
      <c r="AQ25" s="60">
        <v>1514879314.2720001</v>
      </c>
      <c r="AR25" s="60"/>
      <c r="AS25" s="60"/>
      <c r="AT25" s="60"/>
      <c r="AU25" s="60"/>
      <c r="AV25" s="64"/>
      <c r="AW25" s="55">
        <f t="shared" si="0"/>
        <v>3757909235</v>
      </c>
      <c r="AX25" s="55">
        <f t="shared" si="1"/>
        <v>3107667520</v>
      </c>
      <c r="AY25" s="55">
        <f t="shared" si="2"/>
        <v>3231974220.8000002</v>
      </c>
      <c r="AZ25" s="55">
        <f t="shared" si="3"/>
        <v>1514879314.2720001</v>
      </c>
      <c r="BA25" s="55">
        <f t="shared" si="4"/>
        <v>11612430290.071999</v>
      </c>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row>
    <row r="26" spans="1:133" s="15" customFormat="1" ht="78.75" x14ac:dyDescent="0.25">
      <c r="A26" s="148" t="s">
        <v>28</v>
      </c>
      <c r="B26" s="56" t="s">
        <v>29</v>
      </c>
      <c r="C26" s="56" t="s">
        <v>80</v>
      </c>
      <c r="D26" s="56" t="s">
        <v>53</v>
      </c>
      <c r="E26" s="89">
        <v>0.51</v>
      </c>
      <c r="F26" s="89">
        <v>0.53</v>
      </c>
      <c r="G26" s="66" t="s">
        <v>83</v>
      </c>
      <c r="H26" s="66" t="s">
        <v>1167</v>
      </c>
      <c r="I26" s="68" t="s">
        <v>84</v>
      </c>
      <c r="J26" s="68" t="s">
        <v>1683</v>
      </c>
      <c r="K26" s="180">
        <v>900</v>
      </c>
      <c r="L26" s="180">
        <v>2400</v>
      </c>
      <c r="M26" s="54" t="s">
        <v>36</v>
      </c>
      <c r="N26" s="108" t="s">
        <v>37</v>
      </c>
      <c r="O26" s="54" t="s">
        <v>38</v>
      </c>
      <c r="P26" s="70" t="s">
        <v>39</v>
      </c>
      <c r="Q26" s="165" t="s">
        <v>1680</v>
      </c>
      <c r="R26" s="182">
        <v>0</v>
      </c>
      <c r="S26" s="178">
        <v>1000</v>
      </c>
      <c r="T26" s="178">
        <v>1000</v>
      </c>
      <c r="U26" s="183">
        <v>400</v>
      </c>
      <c r="V26" s="59"/>
      <c r="W26" s="60"/>
      <c r="X26" s="60"/>
      <c r="Y26" s="60"/>
      <c r="Z26" s="60"/>
      <c r="AA26" s="61"/>
      <c r="AB26" s="62">
        <v>1667000000</v>
      </c>
      <c r="AC26" s="60">
        <v>0</v>
      </c>
      <c r="AD26" s="60"/>
      <c r="AE26" s="60"/>
      <c r="AF26" s="60"/>
      <c r="AG26" s="60"/>
      <c r="AH26" s="63"/>
      <c r="AI26" s="62">
        <v>1784000000</v>
      </c>
      <c r="AJ26" s="60">
        <v>0</v>
      </c>
      <c r="AK26" s="60"/>
      <c r="AL26" s="60"/>
      <c r="AM26" s="60"/>
      <c r="AN26" s="60"/>
      <c r="AO26" s="63"/>
      <c r="AP26" s="62">
        <v>2393000000</v>
      </c>
      <c r="AQ26" s="60">
        <v>0</v>
      </c>
      <c r="AR26" s="60"/>
      <c r="AS26" s="60"/>
      <c r="AT26" s="60"/>
      <c r="AU26" s="60"/>
      <c r="AV26" s="64"/>
      <c r="AW26" s="55">
        <f t="shared" si="0"/>
        <v>0</v>
      </c>
      <c r="AX26" s="55">
        <f t="shared" si="1"/>
        <v>1667000000</v>
      </c>
      <c r="AY26" s="55">
        <f t="shared" si="2"/>
        <v>1784000000</v>
      </c>
      <c r="AZ26" s="55">
        <f t="shared" si="3"/>
        <v>2393000000</v>
      </c>
      <c r="BA26" s="55">
        <f t="shared" si="4"/>
        <v>5844000000</v>
      </c>
    </row>
    <row r="27" spans="1:133" s="15" customFormat="1" ht="173.25" x14ac:dyDescent="0.25">
      <c r="A27" s="148" t="s">
        <v>28</v>
      </c>
      <c r="B27" s="56" t="s">
        <v>29</v>
      </c>
      <c r="C27" s="56" t="s">
        <v>80</v>
      </c>
      <c r="D27" s="56" t="s">
        <v>53</v>
      </c>
      <c r="E27" s="89">
        <v>0.51</v>
      </c>
      <c r="F27" s="89">
        <v>0.53</v>
      </c>
      <c r="G27" s="66" t="s">
        <v>83</v>
      </c>
      <c r="H27" s="66" t="s">
        <v>1146</v>
      </c>
      <c r="I27" s="68" t="s">
        <v>40</v>
      </c>
      <c r="J27" s="68" t="s">
        <v>1682</v>
      </c>
      <c r="K27" s="180" t="s">
        <v>41</v>
      </c>
      <c r="L27" s="179">
        <v>100</v>
      </c>
      <c r="M27" s="54" t="s">
        <v>36</v>
      </c>
      <c r="N27" s="108" t="s">
        <v>37</v>
      </c>
      <c r="O27" s="54" t="s">
        <v>38</v>
      </c>
      <c r="P27" s="70" t="s">
        <v>42</v>
      </c>
      <c r="Q27" s="54" t="s">
        <v>1679</v>
      </c>
      <c r="R27" s="182">
        <v>100</v>
      </c>
      <c r="S27" s="178">
        <v>100</v>
      </c>
      <c r="T27" s="178">
        <v>100</v>
      </c>
      <c r="U27" s="183">
        <v>100</v>
      </c>
      <c r="V27" s="59">
        <v>2000000</v>
      </c>
      <c r="W27" s="60"/>
      <c r="X27" s="60"/>
      <c r="Y27" s="60"/>
      <c r="Z27" s="60"/>
      <c r="AA27" s="61"/>
      <c r="AB27" s="62">
        <v>28600000</v>
      </c>
      <c r="AC27" s="60"/>
      <c r="AD27" s="60"/>
      <c r="AE27" s="60"/>
      <c r="AF27" s="60"/>
      <c r="AG27" s="60"/>
      <c r="AH27" s="63"/>
      <c r="AI27" s="62">
        <v>29744000</v>
      </c>
      <c r="AJ27" s="60"/>
      <c r="AK27" s="60"/>
      <c r="AL27" s="60"/>
      <c r="AM27" s="60"/>
      <c r="AN27" s="60"/>
      <c r="AO27" s="63"/>
      <c r="AP27" s="62">
        <v>30933760</v>
      </c>
      <c r="AQ27" s="60"/>
      <c r="AR27" s="60"/>
      <c r="AS27" s="60"/>
      <c r="AT27" s="60"/>
      <c r="AU27" s="60"/>
      <c r="AV27" s="64"/>
      <c r="AW27" s="55">
        <f t="shared" si="0"/>
        <v>2000000</v>
      </c>
      <c r="AX27" s="55">
        <f t="shared" si="1"/>
        <v>28600000</v>
      </c>
      <c r="AY27" s="55">
        <f t="shared" si="2"/>
        <v>29744000</v>
      </c>
      <c r="AZ27" s="55">
        <f t="shared" si="3"/>
        <v>30933760</v>
      </c>
      <c r="BA27" s="55">
        <f t="shared" si="4"/>
        <v>91277760</v>
      </c>
    </row>
    <row r="28" spans="1:133" s="15" customFormat="1" ht="78.75" x14ac:dyDescent="0.25">
      <c r="A28" s="148" t="s">
        <v>28</v>
      </c>
      <c r="B28" s="56" t="s">
        <v>29</v>
      </c>
      <c r="C28" s="56" t="s">
        <v>80</v>
      </c>
      <c r="D28" s="56" t="s">
        <v>53</v>
      </c>
      <c r="E28" s="89">
        <v>0.51</v>
      </c>
      <c r="F28" s="89">
        <v>0.53</v>
      </c>
      <c r="G28" s="66" t="s">
        <v>83</v>
      </c>
      <c r="H28" s="66" t="s">
        <v>1168</v>
      </c>
      <c r="I28" s="68" t="s">
        <v>85</v>
      </c>
      <c r="J28" s="68" t="s">
        <v>1683</v>
      </c>
      <c r="K28" s="180" t="s">
        <v>41</v>
      </c>
      <c r="L28" s="180">
        <v>400</v>
      </c>
      <c r="M28" s="54" t="s">
        <v>36</v>
      </c>
      <c r="N28" s="108" t="s">
        <v>37</v>
      </c>
      <c r="O28" s="54" t="s">
        <v>38</v>
      </c>
      <c r="P28" s="70" t="s">
        <v>39</v>
      </c>
      <c r="Q28" s="165" t="s">
        <v>1680</v>
      </c>
      <c r="R28" s="182">
        <v>0</v>
      </c>
      <c r="S28" s="178">
        <v>150</v>
      </c>
      <c r="T28" s="178">
        <v>150</v>
      </c>
      <c r="U28" s="183">
        <v>100</v>
      </c>
      <c r="V28" s="59"/>
      <c r="W28" s="60"/>
      <c r="X28" s="60"/>
      <c r="Y28" s="60"/>
      <c r="Z28" s="60"/>
      <c r="AA28" s="61"/>
      <c r="AB28" s="62">
        <v>141664200</v>
      </c>
      <c r="AC28" s="60"/>
      <c r="AD28" s="60"/>
      <c r="AE28" s="60"/>
      <c r="AF28" s="60"/>
      <c r="AG28" s="60"/>
      <c r="AH28" s="63"/>
      <c r="AI28" s="62">
        <v>300328200</v>
      </c>
      <c r="AJ28" s="60"/>
      <c r="AK28" s="60"/>
      <c r="AL28" s="60"/>
      <c r="AM28" s="60"/>
      <c r="AN28" s="60"/>
      <c r="AO28" s="63"/>
      <c r="AP28" s="62">
        <v>265290000</v>
      </c>
      <c r="AQ28" s="60"/>
      <c r="AR28" s="60"/>
      <c r="AS28" s="60"/>
      <c r="AT28" s="60"/>
      <c r="AU28" s="60"/>
      <c r="AV28" s="64"/>
      <c r="AW28" s="55">
        <f t="shared" si="0"/>
        <v>0</v>
      </c>
      <c r="AX28" s="55">
        <f t="shared" si="1"/>
        <v>141664200</v>
      </c>
      <c r="AY28" s="55">
        <f t="shared" si="2"/>
        <v>300328200</v>
      </c>
      <c r="AZ28" s="55">
        <f t="shared" si="3"/>
        <v>265290000</v>
      </c>
      <c r="BA28" s="55">
        <f t="shared" si="4"/>
        <v>707282400</v>
      </c>
    </row>
    <row r="29" spans="1:133" s="15" customFormat="1" ht="110.25" x14ac:dyDescent="0.25">
      <c r="A29" s="148" t="s">
        <v>28</v>
      </c>
      <c r="B29" s="56" t="s">
        <v>29</v>
      </c>
      <c r="C29" s="56" t="s">
        <v>80</v>
      </c>
      <c r="D29" s="56" t="s">
        <v>53</v>
      </c>
      <c r="E29" s="89">
        <v>0.51</v>
      </c>
      <c r="F29" s="89">
        <v>0.53</v>
      </c>
      <c r="G29" s="108" t="s">
        <v>86</v>
      </c>
      <c r="H29" s="108" t="s">
        <v>1169</v>
      </c>
      <c r="I29" s="68" t="s">
        <v>87</v>
      </c>
      <c r="J29" s="68" t="s">
        <v>1683</v>
      </c>
      <c r="K29" s="180">
        <v>14130</v>
      </c>
      <c r="L29" s="180">
        <v>30000</v>
      </c>
      <c r="M29" s="54" t="s">
        <v>36</v>
      </c>
      <c r="N29" s="108" t="s">
        <v>37</v>
      </c>
      <c r="O29" s="54" t="s">
        <v>38</v>
      </c>
      <c r="P29" s="70" t="s">
        <v>39</v>
      </c>
      <c r="Q29" s="165" t="s">
        <v>1680</v>
      </c>
      <c r="R29" s="182">
        <v>4500</v>
      </c>
      <c r="S29" s="178">
        <v>8000</v>
      </c>
      <c r="T29" s="178">
        <v>8500</v>
      </c>
      <c r="U29" s="183">
        <v>9000</v>
      </c>
      <c r="V29" s="59">
        <v>564903247</v>
      </c>
      <c r="W29" s="60"/>
      <c r="X29" s="60"/>
      <c r="Y29" s="60"/>
      <c r="Z29" s="60"/>
      <c r="AA29" s="61"/>
      <c r="AB29" s="62">
        <v>100000000</v>
      </c>
      <c r="AC29" s="60">
        <v>0</v>
      </c>
      <c r="AD29" s="60"/>
      <c r="AE29" s="60"/>
      <c r="AF29" s="60"/>
      <c r="AG29" s="60"/>
      <c r="AH29" s="63"/>
      <c r="AI29" s="62">
        <v>100000000</v>
      </c>
      <c r="AJ29" s="60">
        <v>0</v>
      </c>
      <c r="AK29" s="60"/>
      <c r="AL29" s="60"/>
      <c r="AM29" s="60"/>
      <c r="AN29" s="60"/>
      <c r="AO29" s="63"/>
      <c r="AP29" s="62">
        <v>100000000</v>
      </c>
      <c r="AQ29" s="60">
        <v>0</v>
      </c>
      <c r="AR29" s="60"/>
      <c r="AS29" s="60"/>
      <c r="AT29" s="60"/>
      <c r="AU29" s="60"/>
      <c r="AV29" s="64"/>
      <c r="AW29" s="55">
        <f t="shared" si="0"/>
        <v>564903247</v>
      </c>
      <c r="AX29" s="55">
        <f t="shared" si="1"/>
        <v>100000000</v>
      </c>
      <c r="AY29" s="55">
        <f t="shared" si="2"/>
        <v>100000000</v>
      </c>
      <c r="AZ29" s="55">
        <f t="shared" si="3"/>
        <v>100000000</v>
      </c>
      <c r="BA29" s="55">
        <f t="shared" si="4"/>
        <v>864903247</v>
      </c>
    </row>
    <row r="30" spans="1:133" s="17" customFormat="1" ht="78.75" x14ac:dyDescent="0.25">
      <c r="A30" s="148" t="s">
        <v>28</v>
      </c>
      <c r="B30" s="56" t="s">
        <v>29</v>
      </c>
      <c r="C30" s="56" t="s">
        <v>80</v>
      </c>
      <c r="D30" s="56" t="s">
        <v>53</v>
      </c>
      <c r="E30" s="89">
        <v>0.51</v>
      </c>
      <c r="F30" s="89">
        <v>0.53</v>
      </c>
      <c r="G30" s="108" t="s">
        <v>88</v>
      </c>
      <c r="H30" s="108" t="s">
        <v>1170</v>
      </c>
      <c r="I30" s="68" t="s">
        <v>89</v>
      </c>
      <c r="J30" s="68" t="s">
        <v>1682</v>
      </c>
      <c r="K30" s="178" t="s">
        <v>90</v>
      </c>
      <c r="L30" s="179">
        <v>100</v>
      </c>
      <c r="M30" s="54" t="s">
        <v>36</v>
      </c>
      <c r="N30" s="108" t="s">
        <v>37</v>
      </c>
      <c r="O30" s="54" t="s">
        <v>38</v>
      </c>
      <c r="P30" s="72" t="s">
        <v>42</v>
      </c>
      <c r="Q30" s="54" t="s">
        <v>1679</v>
      </c>
      <c r="R30" s="182">
        <v>100</v>
      </c>
      <c r="S30" s="178">
        <v>100</v>
      </c>
      <c r="T30" s="178">
        <v>100</v>
      </c>
      <c r="U30" s="183">
        <v>100</v>
      </c>
      <c r="V30" s="59">
        <v>1000000</v>
      </c>
      <c r="W30" s="60"/>
      <c r="X30" s="60"/>
      <c r="Y30" s="60"/>
      <c r="Z30" s="60"/>
      <c r="AA30" s="61"/>
      <c r="AB30" s="62">
        <v>1000000</v>
      </c>
      <c r="AC30" s="60"/>
      <c r="AD30" s="60"/>
      <c r="AE30" s="60"/>
      <c r="AF30" s="60"/>
      <c r="AG30" s="60"/>
      <c r="AH30" s="63"/>
      <c r="AI30" s="62">
        <v>1000000</v>
      </c>
      <c r="AJ30" s="60">
        <v>0</v>
      </c>
      <c r="AK30" s="60"/>
      <c r="AL30" s="60"/>
      <c r="AM30" s="60"/>
      <c r="AN30" s="60"/>
      <c r="AO30" s="63"/>
      <c r="AP30" s="62">
        <v>1000000</v>
      </c>
      <c r="AQ30" s="60"/>
      <c r="AR30" s="60"/>
      <c r="AS30" s="60"/>
      <c r="AT30" s="60"/>
      <c r="AU30" s="60"/>
      <c r="AV30" s="64"/>
      <c r="AW30" s="55">
        <f t="shared" si="0"/>
        <v>1000000</v>
      </c>
      <c r="AX30" s="55">
        <f t="shared" si="1"/>
        <v>1000000</v>
      </c>
      <c r="AY30" s="55">
        <f t="shared" si="2"/>
        <v>1000000</v>
      </c>
      <c r="AZ30" s="55">
        <f t="shared" si="3"/>
        <v>1000000</v>
      </c>
      <c r="BA30" s="55">
        <f t="shared" si="4"/>
        <v>4000000</v>
      </c>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row>
    <row r="31" spans="1:133" s="11" customFormat="1" ht="94.5" x14ac:dyDescent="0.25">
      <c r="A31" s="148" t="s">
        <v>28</v>
      </c>
      <c r="B31" s="56" t="s">
        <v>91</v>
      </c>
      <c r="C31" s="56" t="s">
        <v>92</v>
      </c>
      <c r="D31" s="56" t="s">
        <v>93</v>
      </c>
      <c r="E31" s="57">
        <v>1</v>
      </c>
      <c r="F31" s="57">
        <v>1</v>
      </c>
      <c r="G31" s="108" t="s">
        <v>94</v>
      </c>
      <c r="H31" s="108" t="s">
        <v>1171</v>
      </c>
      <c r="I31" s="109" t="s">
        <v>95</v>
      </c>
      <c r="J31" s="109" t="s">
        <v>1682</v>
      </c>
      <c r="K31" s="178">
        <v>98</v>
      </c>
      <c r="L31" s="179">
        <v>100</v>
      </c>
      <c r="M31" s="108" t="s">
        <v>96</v>
      </c>
      <c r="N31" s="108" t="s">
        <v>97</v>
      </c>
      <c r="O31" s="54" t="s">
        <v>98</v>
      </c>
      <c r="P31" s="67" t="s">
        <v>1677</v>
      </c>
      <c r="Q31" s="166" t="s">
        <v>1679</v>
      </c>
      <c r="R31" s="182">
        <v>98</v>
      </c>
      <c r="S31" s="178">
        <v>98.5</v>
      </c>
      <c r="T31" s="178">
        <v>99</v>
      </c>
      <c r="U31" s="183">
        <v>100</v>
      </c>
      <c r="V31" s="59">
        <f>20191594689</f>
        <v>20191594689</v>
      </c>
      <c r="W31" s="60">
        <f>247254750011</f>
        <v>247254750011</v>
      </c>
      <c r="X31" s="60">
        <v>315920000000</v>
      </c>
      <c r="Y31" s="60"/>
      <c r="Z31" s="60"/>
      <c r="AA31" s="61"/>
      <c r="AB31" s="62">
        <v>21201174423</v>
      </c>
      <c r="AC31" s="60">
        <v>244562582511</v>
      </c>
      <c r="AD31" s="60">
        <v>216634400000</v>
      </c>
      <c r="AE31" s="60"/>
      <c r="AF31" s="60"/>
      <c r="AG31" s="60"/>
      <c r="AH31" s="63"/>
      <c r="AI31" s="62">
        <v>12261233144</v>
      </c>
      <c r="AJ31" s="60">
        <v>123081963287</v>
      </c>
      <c r="AK31" s="60">
        <v>250798808000</v>
      </c>
      <c r="AL31" s="60">
        <v>0</v>
      </c>
      <c r="AM31" s="60"/>
      <c r="AN31" s="60"/>
      <c r="AO31" s="63"/>
      <c r="AP31" s="62">
        <v>13374294801</v>
      </c>
      <c r="AQ31" s="60">
        <v>202897700717</v>
      </c>
      <c r="AR31" s="60">
        <v>300738748400</v>
      </c>
      <c r="AS31" s="60">
        <v>0</v>
      </c>
      <c r="AT31" s="60"/>
      <c r="AU31" s="60"/>
      <c r="AV31" s="64"/>
      <c r="AW31" s="55">
        <f t="shared" si="0"/>
        <v>583366344700</v>
      </c>
      <c r="AX31" s="55">
        <f t="shared" si="1"/>
        <v>482398156934</v>
      </c>
      <c r="AY31" s="55">
        <f t="shared" si="2"/>
        <v>386142004431</v>
      </c>
      <c r="AZ31" s="55">
        <f t="shared" si="3"/>
        <v>517010743918</v>
      </c>
      <c r="BA31" s="55">
        <f t="shared" si="4"/>
        <v>1968917249983</v>
      </c>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row>
    <row r="32" spans="1:133" s="3" customFormat="1" ht="94.5" x14ac:dyDescent="0.25">
      <c r="A32" s="148" t="s">
        <v>28</v>
      </c>
      <c r="B32" s="56" t="s">
        <v>91</v>
      </c>
      <c r="C32" s="56" t="s">
        <v>92</v>
      </c>
      <c r="D32" s="56" t="s">
        <v>93</v>
      </c>
      <c r="E32" s="57">
        <v>1</v>
      </c>
      <c r="F32" s="57">
        <v>1</v>
      </c>
      <c r="G32" s="108" t="s">
        <v>99</v>
      </c>
      <c r="H32" s="108" t="s">
        <v>1172</v>
      </c>
      <c r="I32" s="109" t="s">
        <v>100</v>
      </c>
      <c r="J32" s="109" t="s">
        <v>1682</v>
      </c>
      <c r="K32" s="178">
        <v>0</v>
      </c>
      <c r="L32" s="179">
        <v>100</v>
      </c>
      <c r="M32" s="108" t="s">
        <v>96</v>
      </c>
      <c r="N32" s="108" t="s">
        <v>97</v>
      </c>
      <c r="O32" s="54" t="s">
        <v>98</v>
      </c>
      <c r="P32" s="67" t="s">
        <v>39</v>
      </c>
      <c r="Q32" s="166" t="s">
        <v>1679</v>
      </c>
      <c r="R32" s="182">
        <v>0</v>
      </c>
      <c r="S32" s="178">
        <v>20</v>
      </c>
      <c r="T32" s="178">
        <v>50</v>
      </c>
      <c r="U32" s="183">
        <v>100</v>
      </c>
      <c r="V32" s="59"/>
      <c r="W32" s="60"/>
      <c r="X32" s="60"/>
      <c r="Y32" s="60"/>
      <c r="Z32" s="60"/>
      <c r="AA32" s="61"/>
      <c r="AB32" s="62">
        <v>0</v>
      </c>
      <c r="AC32" s="60">
        <v>0</v>
      </c>
      <c r="AD32" s="60">
        <v>8560000000</v>
      </c>
      <c r="AE32" s="60"/>
      <c r="AF32" s="60"/>
      <c r="AG32" s="60"/>
      <c r="AH32" s="63"/>
      <c r="AI32" s="62">
        <v>0</v>
      </c>
      <c r="AJ32" s="60">
        <v>0</v>
      </c>
      <c r="AK32" s="60">
        <v>7159200000</v>
      </c>
      <c r="AM32" s="60"/>
      <c r="AN32" s="60"/>
      <c r="AO32" s="63"/>
      <c r="AP32" s="62">
        <v>0</v>
      </c>
      <c r="AQ32" s="60">
        <v>0</v>
      </c>
      <c r="AR32" s="60">
        <v>9800344000</v>
      </c>
      <c r="AS32" s="60">
        <v>0</v>
      </c>
      <c r="AT32" s="60"/>
      <c r="AU32" s="60"/>
      <c r="AV32" s="64"/>
      <c r="AW32" s="55">
        <f t="shared" si="0"/>
        <v>0</v>
      </c>
      <c r="AX32" s="55">
        <f t="shared" si="1"/>
        <v>8560000000</v>
      </c>
      <c r="AY32" s="55">
        <f t="shared" si="2"/>
        <v>7159200000</v>
      </c>
      <c r="AZ32" s="55">
        <f t="shared" si="3"/>
        <v>9800344000</v>
      </c>
      <c r="BA32" s="55">
        <f t="shared" si="4"/>
        <v>25519544000</v>
      </c>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row>
    <row r="33" spans="1:133" s="15" customFormat="1" ht="141.75" x14ac:dyDescent="0.25">
      <c r="A33" s="148" t="s">
        <v>28</v>
      </c>
      <c r="B33" s="56" t="s">
        <v>91</v>
      </c>
      <c r="C33" s="56" t="s">
        <v>92</v>
      </c>
      <c r="D33" s="56" t="s">
        <v>93</v>
      </c>
      <c r="E33" s="57">
        <v>1</v>
      </c>
      <c r="F33" s="57">
        <v>1</v>
      </c>
      <c r="G33" s="108" t="s">
        <v>101</v>
      </c>
      <c r="H33" s="108" t="s">
        <v>1173</v>
      </c>
      <c r="I33" s="109" t="s">
        <v>102</v>
      </c>
      <c r="J33" s="109" t="s">
        <v>1682</v>
      </c>
      <c r="K33" s="178">
        <v>100</v>
      </c>
      <c r="L33" s="179">
        <v>100</v>
      </c>
      <c r="M33" s="100" t="s">
        <v>96</v>
      </c>
      <c r="N33" s="100" t="s">
        <v>97</v>
      </c>
      <c r="O33" s="54" t="s">
        <v>98</v>
      </c>
      <c r="P33" s="67" t="s">
        <v>42</v>
      </c>
      <c r="Q33" s="54" t="s">
        <v>1679</v>
      </c>
      <c r="R33" s="182">
        <v>100</v>
      </c>
      <c r="S33" s="178">
        <v>100</v>
      </c>
      <c r="T33" s="178">
        <v>100</v>
      </c>
      <c r="U33" s="183">
        <v>100</v>
      </c>
      <c r="V33" s="59">
        <v>43756245106</v>
      </c>
      <c r="W33" s="60">
        <v>2363419262</v>
      </c>
      <c r="X33" s="60">
        <v>1073563911</v>
      </c>
      <c r="Y33" s="60"/>
      <c r="Z33" s="60"/>
      <c r="AA33" s="61"/>
      <c r="AB33" s="62"/>
      <c r="AC33" s="60"/>
      <c r="AD33" s="60">
        <v>21400000000</v>
      </c>
      <c r="AE33" s="60"/>
      <c r="AF33" s="60"/>
      <c r="AG33" s="60"/>
      <c r="AH33" s="63"/>
      <c r="AI33" s="62"/>
      <c r="AJ33" s="60"/>
      <c r="AK33" s="60">
        <v>19898000000</v>
      </c>
      <c r="AL33" s="60"/>
      <c r="AM33" s="60"/>
      <c r="AN33" s="60"/>
      <c r="AO33" s="63"/>
      <c r="AP33" s="62">
        <v>0</v>
      </c>
      <c r="AQ33" s="60">
        <v>0</v>
      </c>
      <c r="AR33" s="60">
        <v>19500860000</v>
      </c>
      <c r="AS33" s="60">
        <v>0</v>
      </c>
      <c r="AT33" s="60"/>
      <c r="AU33" s="60"/>
      <c r="AV33" s="64"/>
      <c r="AW33" s="55">
        <f t="shared" si="0"/>
        <v>47193228279</v>
      </c>
      <c r="AX33" s="55">
        <f t="shared" si="1"/>
        <v>21400000000</v>
      </c>
      <c r="AY33" s="55">
        <f t="shared" si="2"/>
        <v>19898000000</v>
      </c>
      <c r="AZ33" s="55">
        <f t="shared" si="3"/>
        <v>19500860000</v>
      </c>
      <c r="BA33" s="55">
        <f t="shared" si="4"/>
        <v>107992088279</v>
      </c>
    </row>
    <row r="34" spans="1:133" s="22" customFormat="1" ht="63" x14ac:dyDescent="0.25">
      <c r="A34" s="148" t="s">
        <v>28</v>
      </c>
      <c r="B34" s="56" t="s">
        <v>91</v>
      </c>
      <c r="C34" s="56" t="s">
        <v>92</v>
      </c>
      <c r="D34" s="56" t="s">
        <v>93</v>
      </c>
      <c r="E34" s="57">
        <v>1</v>
      </c>
      <c r="F34" s="57">
        <v>1</v>
      </c>
      <c r="G34" s="108" t="s">
        <v>103</v>
      </c>
      <c r="H34" s="108" t="s">
        <v>1174</v>
      </c>
      <c r="I34" s="109" t="s">
        <v>104</v>
      </c>
      <c r="J34" s="109" t="s">
        <v>1682</v>
      </c>
      <c r="K34" s="178" t="s">
        <v>90</v>
      </c>
      <c r="L34" s="179">
        <v>90</v>
      </c>
      <c r="M34" s="100" t="s">
        <v>96</v>
      </c>
      <c r="N34" s="100" t="s">
        <v>97</v>
      </c>
      <c r="O34" s="54" t="s">
        <v>98</v>
      </c>
      <c r="P34" s="72" t="s">
        <v>39</v>
      </c>
      <c r="Q34" s="167" t="s">
        <v>1679</v>
      </c>
      <c r="R34" s="182">
        <v>20</v>
      </c>
      <c r="S34" s="178">
        <v>50</v>
      </c>
      <c r="T34" s="178">
        <v>80</v>
      </c>
      <c r="U34" s="183">
        <v>90</v>
      </c>
      <c r="V34" s="59">
        <f>5371234355</f>
        <v>5371234355</v>
      </c>
      <c r="W34" s="60">
        <v>0</v>
      </c>
      <c r="X34" s="60">
        <v>0</v>
      </c>
      <c r="Y34" s="60"/>
      <c r="Z34" s="60"/>
      <c r="AA34" s="61"/>
      <c r="AB34" s="62">
        <v>1467220759</v>
      </c>
      <c r="AC34" s="60"/>
      <c r="AD34" s="60"/>
      <c r="AE34" s="60"/>
      <c r="AF34" s="60"/>
      <c r="AG34" s="60"/>
      <c r="AH34" s="63"/>
      <c r="AI34" s="62">
        <v>1569926213</v>
      </c>
      <c r="AJ34" s="60"/>
      <c r="AK34" s="60"/>
      <c r="AL34" s="60"/>
      <c r="AM34" s="60"/>
      <c r="AN34" s="60"/>
      <c r="AO34" s="63"/>
      <c r="AP34" s="62">
        <v>1679821047</v>
      </c>
      <c r="AQ34" s="60">
        <v>0</v>
      </c>
      <c r="AR34" s="60">
        <v>0</v>
      </c>
      <c r="AS34" s="60">
        <v>0</v>
      </c>
      <c r="AT34" s="60"/>
      <c r="AU34" s="60"/>
      <c r="AV34" s="64"/>
      <c r="AW34" s="55">
        <f t="shared" si="0"/>
        <v>5371234355</v>
      </c>
      <c r="AX34" s="55">
        <f t="shared" si="1"/>
        <v>1467220759</v>
      </c>
      <c r="AY34" s="55">
        <f t="shared" si="2"/>
        <v>1569926213</v>
      </c>
      <c r="AZ34" s="55">
        <f t="shared" si="3"/>
        <v>1679821047</v>
      </c>
      <c r="BA34" s="55">
        <f t="shared" si="4"/>
        <v>10088202374</v>
      </c>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row>
    <row r="35" spans="1:133" s="3" customFormat="1" ht="409.5" x14ac:dyDescent="0.25">
      <c r="A35" s="148" t="s">
        <v>28</v>
      </c>
      <c r="B35" s="56" t="s">
        <v>91</v>
      </c>
      <c r="C35" s="56" t="s">
        <v>105</v>
      </c>
      <c r="D35" s="110" t="s">
        <v>106</v>
      </c>
      <c r="E35" s="110" t="s">
        <v>107</v>
      </c>
      <c r="F35" s="110" t="s">
        <v>108</v>
      </c>
      <c r="G35" s="101" t="s">
        <v>109</v>
      </c>
      <c r="H35" s="101" t="s">
        <v>1175</v>
      </c>
      <c r="I35" s="109" t="s">
        <v>110</v>
      </c>
      <c r="J35" s="109" t="s">
        <v>1682</v>
      </c>
      <c r="K35" s="178">
        <v>0</v>
      </c>
      <c r="L35" s="179">
        <v>100</v>
      </c>
      <c r="M35" s="100" t="s">
        <v>96</v>
      </c>
      <c r="N35" s="100" t="s">
        <v>97</v>
      </c>
      <c r="O35" s="54" t="s">
        <v>98</v>
      </c>
      <c r="P35" s="67" t="s">
        <v>39</v>
      </c>
      <c r="Q35" s="166" t="s">
        <v>1679</v>
      </c>
      <c r="R35" s="182">
        <v>20</v>
      </c>
      <c r="S35" s="178">
        <v>60</v>
      </c>
      <c r="T35" s="178">
        <v>80</v>
      </c>
      <c r="U35" s="183">
        <v>100</v>
      </c>
      <c r="V35" s="59">
        <v>0</v>
      </c>
      <c r="W35" s="60">
        <f>450000000</f>
        <v>450000000</v>
      </c>
      <c r="X35" s="60">
        <v>0</v>
      </c>
      <c r="Y35" s="60"/>
      <c r="Z35" s="60"/>
      <c r="AA35" s="61"/>
      <c r="AB35" s="62"/>
      <c r="AC35" s="60">
        <v>481500000</v>
      </c>
      <c r="AD35" s="60"/>
      <c r="AE35" s="60"/>
      <c r="AF35" s="60"/>
      <c r="AG35" s="60"/>
      <c r="AH35" s="63"/>
      <c r="AI35" s="62">
        <v>0</v>
      </c>
      <c r="AJ35" s="60">
        <v>515205000</v>
      </c>
      <c r="AK35" s="60"/>
      <c r="AL35" s="60"/>
      <c r="AM35" s="60"/>
      <c r="AN35" s="60"/>
      <c r="AO35" s="63"/>
      <c r="AP35" s="62">
        <v>0</v>
      </c>
      <c r="AQ35" s="60">
        <v>500269350</v>
      </c>
      <c r="AR35" s="60">
        <v>0</v>
      </c>
      <c r="AS35" s="60">
        <v>0</v>
      </c>
      <c r="AT35" s="60"/>
      <c r="AU35" s="60"/>
      <c r="AV35" s="64"/>
      <c r="AW35" s="55">
        <f t="shared" si="0"/>
        <v>450000000</v>
      </c>
      <c r="AX35" s="55">
        <f t="shared" si="1"/>
        <v>481500000</v>
      </c>
      <c r="AY35" s="55">
        <f t="shared" si="2"/>
        <v>515205000</v>
      </c>
      <c r="AZ35" s="55">
        <f t="shared" si="3"/>
        <v>500269350</v>
      </c>
      <c r="BA35" s="55">
        <f t="shared" si="4"/>
        <v>1946974350</v>
      </c>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row>
    <row r="36" spans="1:133" s="15" customFormat="1" ht="409.5" x14ac:dyDescent="0.25">
      <c r="A36" s="148" t="s">
        <v>28</v>
      </c>
      <c r="B36" s="56" t="s">
        <v>91</v>
      </c>
      <c r="C36" s="56" t="s">
        <v>105</v>
      </c>
      <c r="D36" s="110" t="s">
        <v>106</v>
      </c>
      <c r="E36" s="110" t="s">
        <v>107</v>
      </c>
      <c r="F36" s="110" t="s">
        <v>108</v>
      </c>
      <c r="G36" s="66" t="s">
        <v>111</v>
      </c>
      <c r="H36" s="66" t="s">
        <v>1176</v>
      </c>
      <c r="I36" s="109" t="s">
        <v>112</v>
      </c>
      <c r="J36" s="109" t="s">
        <v>1682</v>
      </c>
      <c r="K36" s="178">
        <v>100</v>
      </c>
      <c r="L36" s="179">
        <v>100</v>
      </c>
      <c r="M36" s="100" t="s">
        <v>96</v>
      </c>
      <c r="N36" s="100" t="s">
        <v>97</v>
      </c>
      <c r="O36" s="54" t="s">
        <v>98</v>
      </c>
      <c r="P36" s="67" t="s">
        <v>42</v>
      </c>
      <c r="Q36" s="54" t="s">
        <v>1679</v>
      </c>
      <c r="R36" s="182">
        <v>100</v>
      </c>
      <c r="S36" s="178">
        <v>100</v>
      </c>
      <c r="T36" s="178">
        <v>100</v>
      </c>
      <c r="U36" s="183">
        <v>100</v>
      </c>
      <c r="V36" s="59">
        <v>1000000000</v>
      </c>
      <c r="W36" s="60">
        <v>2556586</v>
      </c>
      <c r="X36" s="60"/>
      <c r="Y36" s="60"/>
      <c r="Z36" s="60"/>
      <c r="AA36" s="61"/>
      <c r="AB36" s="62"/>
      <c r="AC36" s="60">
        <v>2000000</v>
      </c>
      <c r="AD36" s="60"/>
      <c r="AE36" s="60"/>
      <c r="AF36" s="60"/>
      <c r="AG36" s="60"/>
      <c r="AH36" s="63"/>
      <c r="AI36" s="62"/>
      <c r="AJ36" s="60">
        <v>2000000</v>
      </c>
      <c r="AK36" s="60"/>
      <c r="AL36" s="60"/>
      <c r="AM36" s="60"/>
      <c r="AN36" s="60"/>
      <c r="AO36" s="63"/>
      <c r="AP36" s="62">
        <v>0</v>
      </c>
      <c r="AQ36" s="60">
        <v>2000000</v>
      </c>
      <c r="AR36" s="60">
        <v>0</v>
      </c>
      <c r="AS36" s="60"/>
      <c r="AT36" s="60"/>
      <c r="AU36" s="60"/>
      <c r="AV36" s="64"/>
      <c r="AW36" s="55">
        <f t="shared" si="0"/>
        <v>1002556586</v>
      </c>
      <c r="AX36" s="55">
        <f t="shared" si="1"/>
        <v>2000000</v>
      </c>
      <c r="AY36" s="55">
        <f t="shared" si="2"/>
        <v>2000000</v>
      </c>
      <c r="AZ36" s="55">
        <f t="shared" si="3"/>
        <v>2000000</v>
      </c>
      <c r="BA36" s="55">
        <f t="shared" si="4"/>
        <v>1008556586</v>
      </c>
    </row>
    <row r="37" spans="1:133" s="15" customFormat="1" ht="409.5" x14ac:dyDescent="0.25">
      <c r="A37" s="148" t="s">
        <v>28</v>
      </c>
      <c r="B37" s="56" t="s">
        <v>91</v>
      </c>
      <c r="C37" s="56" t="s">
        <v>105</v>
      </c>
      <c r="D37" s="110" t="s">
        <v>106</v>
      </c>
      <c r="E37" s="110" t="s">
        <v>107</v>
      </c>
      <c r="F37" s="110" t="s">
        <v>108</v>
      </c>
      <c r="G37" s="66" t="s">
        <v>111</v>
      </c>
      <c r="H37" s="66" t="s">
        <v>1177</v>
      </c>
      <c r="I37" s="109" t="s">
        <v>113</v>
      </c>
      <c r="J37" s="109" t="s">
        <v>1682</v>
      </c>
      <c r="K37" s="178">
        <v>100</v>
      </c>
      <c r="L37" s="179">
        <v>100</v>
      </c>
      <c r="M37" s="100" t="s">
        <v>96</v>
      </c>
      <c r="N37" s="100" t="s">
        <v>97</v>
      </c>
      <c r="O37" s="54" t="s">
        <v>98</v>
      </c>
      <c r="P37" s="67" t="s">
        <v>42</v>
      </c>
      <c r="Q37" s="54" t="s">
        <v>1679</v>
      </c>
      <c r="R37" s="182">
        <v>100</v>
      </c>
      <c r="S37" s="178">
        <v>100</v>
      </c>
      <c r="T37" s="178">
        <v>100</v>
      </c>
      <c r="U37" s="183">
        <v>100</v>
      </c>
      <c r="V37" s="59">
        <v>1000000000</v>
      </c>
      <c r="W37" s="60">
        <f>130000000</f>
        <v>130000000</v>
      </c>
      <c r="X37" s="60"/>
      <c r="Y37" s="60"/>
      <c r="Z37" s="60"/>
      <c r="AA37" s="61"/>
      <c r="AB37" s="62"/>
      <c r="AC37" s="60">
        <v>1416355472</v>
      </c>
      <c r="AD37" s="60">
        <v>0</v>
      </c>
      <c r="AE37" s="60"/>
      <c r="AF37" s="60"/>
      <c r="AG37" s="60"/>
      <c r="AH37" s="63"/>
      <c r="AI37" s="62"/>
      <c r="AJ37" s="60">
        <v>149764035</v>
      </c>
      <c r="AK37" s="60">
        <v>0</v>
      </c>
      <c r="AL37" s="60"/>
      <c r="AM37" s="60"/>
      <c r="AN37" s="60"/>
      <c r="AO37" s="63"/>
      <c r="AP37" s="62">
        <v>0</v>
      </c>
      <c r="AQ37" s="60">
        <v>160387518</v>
      </c>
      <c r="AR37" s="60">
        <v>0</v>
      </c>
      <c r="AS37" s="60"/>
      <c r="AT37" s="60"/>
      <c r="AU37" s="60"/>
      <c r="AV37" s="64"/>
      <c r="AW37" s="55">
        <f t="shared" si="0"/>
        <v>1130000000</v>
      </c>
      <c r="AX37" s="55">
        <f t="shared" si="1"/>
        <v>1416355472</v>
      </c>
      <c r="AY37" s="55">
        <f t="shared" si="2"/>
        <v>149764035</v>
      </c>
      <c r="AZ37" s="55">
        <f t="shared" si="3"/>
        <v>160387518</v>
      </c>
      <c r="BA37" s="55">
        <f t="shared" si="4"/>
        <v>2856507025</v>
      </c>
    </row>
    <row r="38" spans="1:133" s="15" customFormat="1" ht="409.5" x14ac:dyDescent="0.25">
      <c r="A38" s="148" t="s">
        <v>28</v>
      </c>
      <c r="B38" s="56" t="s">
        <v>91</v>
      </c>
      <c r="C38" s="56" t="s">
        <v>105</v>
      </c>
      <c r="D38" s="110" t="s">
        <v>106</v>
      </c>
      <c r="E38" s="110" t="s">
        <v>107</v>
      </c>
      <c r="F38" s="110" t="s">
        <v>108</v>
      </c>
      <c r="G38" s="66" t="s">
        <v>111</v>
      </c>
      <c r="H38" s="66" t="s">
        <v>1178</v>
      </c>
      <c r="I38" s="109" t="s">
        <v>114</v>
      </c>
      <c r="J38" s="109" t="s">
        <v>1683</v>
      </c>
      <c r="K38" s="181">
        <v>0</v>
      </c>
      <c r="L38" s="181">
        <v>5</v>
      </c>
      <c r="M38" s="100" t="s">
        <v>96</v>
      </c>
      <c r="N38" s="100" t="s">
        <v>97</v>
      </c>
      <c r="O38" s="54" t="s">
        <v>98</v>
      </c>
      <c r="P38" s="88" t="s">
        <v>115</v>
      </c>
      <c r="Q38" s="168" t="s">
        <v>1679</v>
      </c>
      <c r="R38" s="182">
        <v>5</v>
      </c>
      <c r="S38" s="178">
        <v>5</v>
      </c>
      <c r="T38" s="178">
        <v>5</v>
      </c>
      <c r="U38" s="183">
        <v>5</v>
      </c>
      <c r="V38" s="59">
        <v>1000000000</v>
      </c>
      <c r="W38" s="60">
        <f>132556586.25</f>
        <v>132556586.25</v>
      </c>
      <c r="X38" s="60"/>
      <c r="Y38" s="60"/>
      <c r="Z38" s="60"/>
      <c r="AA38" s="61"/>
      <c r="AB38" s="62"/>
      <c r="AC38" s="60">
        <v>1418355472</v>
      </c>
      <c r="AD38" s="60">
        <v>0</v>
      </c>
      <c r="AE38" s="60"/>
      <c r="AF38" s="60"/>
      <c r="AG38" s="60"/>
      <c r="AH38" s="63"/>
      <c r="AI38" s="62"/>
      <c r="AJ38" s="60">
        <v>151764035</v>
      </c>
      <c r="AK38" s="60">
        <v>0</v>
      </c>
      <c r="AL38" s="60"/>
      <c r="AM38" s="60"/>
      <c r="AN38" s="60"/>
      <c r="AO38" s="63"/>
      <c r="AP38" s="62">
        <v>0</v>
      </c>
      <c r="AQ38" s="60">
        <v>162387518</v>
      </c>
      <c r="AR38" s="60">
        <v>0</v>
      </c>
      <c r="AS38" s="60"/>
      <c r="AT38" s="60"/>
      <c r="AU38" s="60"/>
      <c r="AV38" s="64"/>
      <c r="AW38" s="55">
        <f t="shared" si="0"/>
        <v>1132556586.25</v>
      </c>
      <c r="AX38" s="55">
        <f t="shared" si="1"/>
        <v>1418355472</v>
      </c>
      <c r="AY38" s="55">
        <f t="shared" si="2"/>
        <v>151764035</v>
      </c>
      <c r="AZ38" s="55">
        <f t="shared" si="3"/>
        <v>162387518</v>
      </c>
      <c r="BA38" s="55">
        <f t="shared" si="4"/>
        <v>2865063611.25</v>
      </c>
    </row>
    <row r="39" spans="1:133" s="15" customFormat="1" ht="409.5" x14ac:dyDescent="0.25">
      <c r="A39" s="148" t="s">
        <v>28</v>
      </c>
      <c r="B39" s="56" t="s">
        <v>91</v>
      </c>
      <c r="C39" s="56" t="s">
        <v>105</v>
      </c>
      <c r="D39" s="110" t="s">
        <v>106</v>
      </c>
      <c r="E39" s="110" t="s">
        <v>107</v>
      </c>
      <c r="F39" s="110" t="s">
        <v>108</v>
      </c>
      <c r="G39" s="66" t="s">
        <v>111</v>
      </c>
      <c r="H39" s="66" t="s">
        <v>1179</v>
      </c>
      <c r="I39" s="109" t="s">
        <v>116</v>
      </c>
      <c r="J39" s="109" t="s">
        <v>1683</v>
      </c>
      <c r="K39" s="181">
        <v>11.2</v>
      </c>
      <c r="L39" s="181">
        <v>9</v>
      </c>
      <c r="M39" s="100" t="s">
        <v>96</v>
      </c>
      <c r="N39" s="100" t="s">
        <v>97</v>
      </c>
      <c r="O39" s="54" t="s">
        <v>98</v>
      </c>
      <c r="P39" s="88" t="s">
        <v>115</v>
      </c>
      <c r="Q39" s="168" t="s">
        <v>1679</v>
      </c>
      <c r="R39" s="182">
        <v>9</v>
      </c>
      <c r="S39" s="178">
        <v>9</v>
      </c>
      <c r="T39" s="178">
        <v>9</v>
      </c>
      <c r="U39" s="183">
        <v>9</v>
      </c>
      <c r="V39" s="59">
        <v>1000000000</v>
      </c>
      <c r="W39" s="60">
        <f>132556586.25</f>
        <v>132556586.25</v>
      </c>
      <c r="X39" s="60">
        <f>350556981</f>
        <v>350556981</v>
      </c>
      <c r="Y39" s="60"/>
      <c r="Z39" s="60"/>
      <c r="AA39" s="61"/>
      <c r="AB39" s="62"/>
      <c r="AC39" s="60">
        <v>1418355472</v>
      </c>
      <c r="AD39" s="60">
        <v>37509596</v>
      </c>
      <c r="AE39" s="60"/>
      <c r="AF39" s="60"/>
      <c r="AG39" s="60"/>
      <c r="AH39" s="63"/>
      <c r="AI39" s="62"/>
      <c r="AJ39" s="60">
        <v>151764035</v>
      </c>
      <c r="AK39" s="60">
        <v>40135268</v>
      </c>
      <c r="AL39" s="60"/>
      <c r="AM39" s="60"/>
      <c r="AN39" s="60"/>
      <c r="AO39" s="63"/>
      <c r="AP39" s="62">
        <v>0</v>
      </c>
      <c r="AQ39" s="60">
        <v>162387518</v>
      </c>
      <c r="AR39" s="60">
        <v>42944737</v>
      </c>
      <c r="AS39" s="60"/>
      <c r="AT39" s="60"/>
      <c r="AU39" s="60"/>
      <c r="AV39" s="64"/>
      <c r="AW39" s="55">
        <f t="shared" si="0"/>
        <v>1483113567.25</v>
      </c>
      <c r="AX39" s="55">
        <f t="shared" si="1"/>
        <v>1455865068</v>
      </c>
      <c r="AY39" s="55">
        <f t="shared" si="2"/>
        <v>191899303</v>
      </c>
      <c r="AZ39" s="55">
        <f t="shared" si="3"/>
        <v>205332255</v>
      </c>
      <c r="BA39" s="55">
        <f t="shared" si="4"/>
        <v>3336210193.25</v>
      </c>
    </row>
    <row r="40" spans="1:133" s="15" customFormat="1" ht="409.5" x14ac:dyDescent="0.25">
      <c r="A40" s="148" t="s">
        <v>28</v>
      </c>
      <c r="B40" s="56" t="s">
        <v>91</v>
      </c>
      <c r="C40" s="56" t="s">
        <v>105</v>
      </c>
      <c r="D40" s="110" t="s">
        <v>106</v>
      </c>
      <c r="E40" s="110" t="s">
        <v>107</v>
      </c>
      <c r="F40" s="110" t="s">
        <v>108</v>
      </c>
      <c r="G40" s="66" t="s">
        <v>111</v>
      </c>
      <c r="H40" s="66" t="s">
        <v>1180</v>
      </c>
      <c r="I40" s="109" t="s">
        <v>117</v>
      </c>
      <c r="J40" s="109" t="s">
        <v>1682</v>
      </c>
      <c r="K40" s="178">
        <v>77</v>
      </c>
      <c r="L40" s="179">
        <v>80</v>
      </c>
      <c r="M40" s="108" t="s">
        <v>96</v>
      </c>
      <c r="N40" s="100" t="s">
        <v>97</v>
      </c>
      <c r="O40" s="54" t="s">
        <v>98</v>
      </c>
      <c r="P40" s="88" t="s">
        <v>1677</v>
      </c>
      <c r="Q40" s="168" t="s">
        <v>1679</v>
      </c>
      <c r="R40" s="182">
        <v>77</v>
      </c>
      <c r="S40" s="178">
        <v>78</v>
      </c>
      <c r="T40" s="178">
        <v>79</v>
      </c>
      <c r="U40" s="183">
        <v>80</v>
      </c>
      <c r="V40" s="59">
        <v>1000000000</v>
      </c>
      <c r="W40" s="60">
        <f>132556586.25</f>
        <v>132556586.25</v>
      </c>
      <c r="X40" s="60"/>
      <c r="Y40" s="60"/>
      <c r="Z40" s="60"/>
      <c r="AA40" s="61"/>
      <c r="AB40" s="62"/>
      <c r="AC40" s="60">
        <v>1418355472</v>
      </c>
      <c r="AD40" s="60">
        <v>0</v>
      </c>
      <c r="AE40" s="60"/>
      <c r="AF40" s="60"/>
      <c r="AG40" s="60"/>
      <c r="AH40" s="63"/>
      <c r="AI40" s="62"/>
      <c r="AJ40" s="60">
        <v>151764035</v>
      </c>
      <c r="AK40" s="60">
        <v>0</v>
      </c>
      <c r="AL40" s="60"/>
      <c r="AM40" s="60"/>
      <c r="AN40" s="60"/>
      <c r="AO40" s="63"/>
      <c r="AP40" s="62">
        <v>0</v>
      </c>
      <c r="AQ40" s="60">
        <v>162387518</v>
      </c>
      <c r="AR40" s="60">
        <v>0</v>
      </c>
      <c r="AS40" s="60"/>
      <c r="AT40" s="60"/>
      <c r="AU40" s="60"/>
      <c r="AV40" s="64"/>
      <c r="AW40" s="55">
        <f t="shared" si="0"/>
        <v>1132556586.25</v>
      </c>
      <c r="AX40" s="55">
        <f t="shared" si="1"/>
        <v>1418355472</v>
      </c>
      <c r="AY40" s="55">
        <f t="shared" si="2"/>
        <v>151764035</v>
      </c>
      <c r="AZ40" s="55">
        <f t="shared" si="3"/>
        <v>162387518</v>
      </c>
      <c r="BA40" s="55">
        <f t="shared" si="4"/>
        <v>2865063611.25</v>
      </c>
    </row>
    <row r="41" spans="1:133" s="15" customFormat="1" ht="409.5" x14ac:dyDescent="0.25">
      <c r="A41" s="148" t="s">
        <v>28</v>
      </c>
      <c r="B41" s="56" t="s">
        <v>91</v>
      </c>
      <c r="C41" s="56" t="s">
        <v>105</v>
      </c>
      <c r="D41" s="110" t="s">
        <v>106</v>
      </c>
      <c r="E41" s="110" t="s">
        <v>107</v>
      </c>
      <c r="F41" s="110" t="s">
        <v>108</v>
      </c>
      <c r="G41" s="66" t="s">
        <v>118</v>
      </c>
      <c r="H41" s="66" t="s">
        <v>1181</v>
      </c>
      <c r="I41" s="108" t="s">
        <v>119</v>
      </c>
      <c r="J41" s="108" t="s">
        <v>1682</v>
      </c>
      <c r="K41" s="178">
        <v>95</v>
      </c>
      <c r="L41" s="179">
        <v>95</v>
      </c>
      <c r="M41" s="100" t="s">
        <v>96</v>
      </c>
      <c r="N41" s="100" t="s">
        <v>97</v>
      </c>
      <c r="O41" s="54" t="s">
        <v>98</v>
      </c>
      <c r="P41" s="67" t="s">
        <v>42</v>
      </c>
      <c r="Q41" s="54" t="s">
        <v>1679</v>
      </c>
      <c r="R41" s="182">
        <v>95</v>
      </c>
      <c r="S41" s="178">
        <v>95</v>
      </c>
      <c r="T41" s="178">
        <v>95</v>
      </c>
      <c r="U41" s="183">
        <v>95</v>
      </c>
      <c r="V41" s="59">
        <v>5000000</v>
      </c>
      <c r="W41" s="60">
        <v>0</v>
      </c>
      <c r="X41" s="60"/>
      <c r="Y41" s="60"/>
      <c r="Z41" s="60"/>
      <c r="AA41" s="61"/>
      <c r="AB41" s="62">
        <v>8000000</v>
      </c>
      <c r="AC41" s="60">
        <v>0</v>
      </c>
      <c r="AD41" s="60">
        <v>0</v>
      </c>
      <c r="AE41" s="60"/>
      <c r="AF41" s="60"/>
      <c r="AG41" s="60"/>
      <c r="AH41" s="63"/>
      <c r="AI41" s="62">
        <v>3000000</v>
      </c>
      <c r="AJ41" s="60"/>
      <c r="AK41" s="60"/>
      <c r="AL41" s="60"/>
      <c r="AM41" s="60"/>
      <c r="AN41" s="60"/>
      <c r="AO41" s="63"/>
      <c r="AP41" s="62">
        <v>2000000</v>
      </c>
      <c r="AQ41" s="60">
        <v>0</v>
      </c>
      <c r="AR41" s="60">
        <v>0</v>
      </c>
      <c r="AS41" s="60"/>
      <c r="AT41" s="60"/>
      <c r="AU41" s="60"/>
      <c r="AV41" s="64"/>
      <c r="AW41" s="55">
        <f t="shared" si="0"/>
        <v>5000000</v>
      </c>
      <c r="AX41" s="55">
        <f t="shared" si="1"/>
        <v>8000000</v>
      </c>
      <c r="AY41" s="55">
        <f t="shared" si="2"/>
        <v>3000000</v>
      </c>
      <c r="AZ41" s="55">
        <f t="shared" si="3"/>
        <v>2000000</v>
      </c>
      <c r="BA41" s="55">
        <f t="shared" si="4"/>
        <v>18000000</v>
      </c>
    </row>
    <row r="42" spans="1:133" s="15" customFormat="1" ht="409.5" x14ac:dyDescent="0.25">
      <c r="A42" s="148" t="s">
        <v>28</v>
      </c>
      <c r="B42" s="56" t="s">
        <v>91</v>
      </c>
      <c r="C42" s="56" t="s">
        <v>105</v>
      </c>
      <c r="D42" s="110" t="s">
        <v>106</v>
      </c>
      <c r="E42" s="110" t="s">
        <v>107</v>
      </c>
      <c r="F42" s="110" t="s">
        <v>108</v>
      </c>
      <c r="G42" s="66" t="s">
        <v>118</v>
      </c>
      <c r="H42" s="66" t="s">
        <v>1182</v>
      </c>
      <c r="I42" s="108" t="s">
        <v>120</v>
      </c>
      <c r="J42" s="108" t="s">
        <v>1682</v>
      </c>
      <c r="K42" s="178">
        <v>100</v>
      </c>
      <c r="L42" s="179">
        <v>100</v>
      </c>
      <c r="M42" s="108" t="s">
        <v>96</v>
      </c>
      <c r="N42" s="100" t="s">
        <v>97</v>
      </c>
      <c r="O42" s="54" t="s">
        <v>98</v>
      </c>
      <c r="P42" s="67" t="s">
        <v>42</v>
      </c>
      <c r="Q42" s="54" t="s">
        <v>1679</v>
      </c>
      <c r="R42" s="182">
        <v>100</v>
      </c>
      <c r="S42" s="178">
        <v>100</v>
      </c>
      <c r="T42" s="178">
        <v>100</v>
      </c>
      <c r="U42" s="183">
        <v>100</v>
      </c>
      <c r="V42" s="59">
        <f>5050706659</f>
        <v>5050706659</v>
      </c>
      <c r="W42" s="60">
        <f>8033248528</f>
        <v>8033248528</v>
      </c>
      <c r="X42" s="60"/>
      <c r="Y42" s="60"/>
      <c r="Z42" s="60"/>
      <c r="AA42" s="61"/>
      <c r="AB42" s="62">
        <v>5300491990</v>
      </c>
      <c r="AC42" s="60">
        <v>5595575924</v>
      </c>
      <c r="AD42" s="60">
        <v>0</v>
      </c>
      <c r="AE42" s="60"/>
      <c r="AF42" s="60"/>
      <c r="AG42" s="60"/>
      <c r="AH42" s="63"/>
      <c r="AI42" s="62">
        <v>3570916591</v>
      </c>
      <c r="AJ42" s="60">
        <v>5197266239</v>
      </c>
      <c r="AK42" s="60"/>
      <c r="AL42" s="60"/>
      <c r="AM42" s="60"/>
      <c r="AN42" s="60"/>
      <c r="AO42" s="63"/>
      <c r="AP42" s="62">
        <v>5850612421</v>
      </c>
      <c r="AQ42" s="60">
        <v>5841074876</v>
      </c>
      <c r="AR42" s="60">
        <v>0</v>
      </c>
      <c r="AS42" s="60"/>
      <c r="AT42" s="60"/>
      <c r="AU42" s="60"/>
      <c r="AV42" s="64"/>
      <c r="AW42" s="55">
        <f t="shared" si="0"/>
        <v>13083955187</v>
      </c>
      <c r="AX42" s="55">
        <f t="shared" si="1"/>
        <v>10896067914</v>
      </c>
      <c r="AY42" s="55">
        <f t="shared" si="2"/>
        <v>8768182830</v>
      </c>
      <c r="AZ42" s="55">
        <f t="shared" si="3"/>
        <v>11691687297</v>
      </c>
      <c r="BA42" s="55">
        <f t="shared" si="4"/>
        <v>44439893228</v>
      </c>
    </row>
    <row r="43" spans="1:133" s="15" customFormat="1" ht="409.5" x14ac:dyDescent="0.25">
      <c r="A43" s="148" t="s">
        <v>28</v>
      </c>
      <c r="B43" s="56" t="s">
        <v>91</v>
      </c>
      <c r="C43" s="56" t="s">
        <v>105</v>
      </c>
      <c r="D43" s="110" t="s">
        <v>106</v>
      </c>
      <c r="E43" s="110" t="s">
        <v>107</v>
      </c>
      <c r="F43" s="110" t="s">
        <v>108</v>
      </c>
      <c r="G43" s="108" t="s">
        <v>121</v>
      </c>
      <c r="H43" s="108" t="s">
        <v>1183</v>
      </c>
      <c r="I43" s="108" t="s">
        <v>122</v>
      </c>
      <c r="J43" s="108" t="s">
        <v>1682</v>
      </c>
      <c r="K43" s="178">
        <v>95</v>
      </c>
      <c r="L43" s="179">
        <v>95</v>
      </c>
      <c r="M43" s="108" t="s">
        <v>96</v>
      </c>
      <c r="N43" s="100" t="s">
        <v>97</v>
      </c>
      <c r="O43" s="54" t="s">
        <v>98</v>
      </c>
      <c r="P43" s="67" t="s">
        <v>42</v>
      </c>
      <c r="Q43" s="54" t="s">
        <v>1679</v>
      </c>
      <c r="R43" s="182">
        <v>95</v>
      </c>
      <c r="S43" s="178">
        <v>95</v>
      </c>
      <c r="T43" s="178">
        <v>95</v>
      </c>
      <c r="U43" s="183">
        <v>95</v>
      </c>
      <c r="V43" s="59">
        <f>233000000</f>
        <v>233000000</v>
      </c>
      <c r="W43" s="60">
        <f>622400000</f>
        <v>622400000</v>
      </c>
      <c r="X43" s="60">
        <v>436000000</v>
      </c>
      <c r="Y43" s="60"/>
      <c r="Z43" s="60"/>
      <c r="AA43" s="61"/>
      <c r="AB43" s="62">
        <v>244650000</v>
      </c>
      <c r="AC43" s="60">
        <v>665968000</v>
      </c>
      <c r="AD43" s="60"/>
      <c r="AE43" s="60"/>
      <c r="AF43" s="60"/>
      <c r="AG43" s="60"/>
      <c r="AH43" s="63"/>
      <c r="AI43" s="62">
        <v>256882500</v>
      </c>
      <c r="AJ43" s="60">
        <v>699266400</v>
      </c>
      <c r="AK43" s="60">
        <v>0</v>
      </c>
      <c r="AL43" s="60"/>
      <c r="AM43" s="60"/>
      <c r="AN43" s="60"/>
      <c r="AO43" s="63"/>
      <c r="AP43" s="62">
        <v>269726625</v>
      </c>
      <c r="AQ43" s="60">
        <v>748215048</v>
      </c>
      <c r="AR43" s="60">
        <v>0</v>
      </c>
      <c r="AS43" s="60"/>
      <c r="AT43" s="60"/>
      <c r="AU43" s="60"/>
      <c r="AV43" s="64"/>
      <c r="AW43" s="55">
        <f t="shared" si="0"/>
        <v>1291400000</v>
      </c>
      <c r="AX43" s="55">
        <f t="shared" si="1"/>
        <v>910618000</v>
      </c>
      <c r="AY43" s="55">
        <f t="shared" si="2"/>
        <v>956148900</v>
      </c>
      <c r="AZ43" s="55">
        <f t="shared" si="3"/>
        <v>1017941673</v>
      </c>
      <c r="BA43" s="55">
        <f t="shared" si="4"/>
        <v>4176108573</v>
      </c>
    </row>
    <row r="44" spans="1:133" s="15" customFormat="1" ht="409.5" x14ac:dyDescent="0.25">
      <c r="A44" s="148" t="s">
        <v>28</v>
      </c>
      <c r="B44" s="56" t="s">
        <v>91</v>
      </c>
      <c r="C44" s="56" t="s">
        <v>105</v>
      </c>
      <c r="D44" s="110" t="s">
        <v>106</v>
      </c>
      <c r="E44" s="110" t="s">
        <v>107</v>
      </c>
      <c r="F44" s="110" t="s">
        <v>108</v>
      </c>
      <c r="G44" s="66" t="s">
        <v>123</v>
      </c>
      <c r="H44" s="66" t="s">
        <v>1184</v>
      </c>
      <c r="I44" s="109" t="s">
        <v>124</v>
      </c>
      <c r="J44" s="109" t="s">
        <v>1682</v>
      </c>
      <c r="K44" s="181" t="s">
        <v>90</v>
      </c>
      <c r="L44" s="179">
        <v>90</v>
      </c>
      <c r="M44" s="108" t="s">
        <v>96</v>
      </c>
      <c r="N44" s="100" t="s">
        <v>97</v>
      </c>
      <c r="O44" s="54" t="s">
        <v>98</v>
      </c>
      <c r="P44" s="93" t="s">
        <v>39</v>
      </c>
      <c r="Q44" s="169" t="s">
        <v>1679</v>
      </c>
      <c r="R44" s="182">
        <v>10</v>
      </c>
      <c r="S44" s="178">
        <v>40</v>
      </c>
      <c r="T44" s="178">
        <v>70</v>
      </c>
      <c r="U44" s="183">
        <v>90</v>
      </c>
      <c r="V44" s="59">
        <v>1000000000</v>
      </c>
      <c r="W44" s="60">
        <f t="shared" ref="W44:W52" si="5">601380338</f>
        <v>601380338</v>
      </c>
      <c r="X44" s="60">
        <v>0</v>
      </c>
      <c r="Y44" s="60"/>
      <c r="Z44" s="60"/>
      <c r="AA44" s="61"/>
      <c r="AB44" s="62"/>
      <c r="AC44" s="60">
        <v>321738480</v>
      </c>
      <c r="AD44" s="60">
        <v>0</v>
      </c>
      <c r="AE44" s="60"/>
      <c r="AF44" s="60"/>
      <c r="AG44" s="60"/>
      <c r="AH44" s="63"/>
      <c r="AI44" s="62">
        <v>0</v>
      </c>
      <c r="AJ44" s="60">
        <v>344260174</v>
      </c>
      <c r="AK44" s="60">
        <v>0</v>
      </c>
      <c r="AL44" s="60"/>
      <c r="AM44" s="60"/>
      <c r="AN44" s="60"/>
      <c r="AO44" s="63"/>
      <c r="AP44" s="62">
        <v>0</v>
      </c>
      <c r="AQ44" s="60">
        <v>368358386</v>
      </c>
      <c r="AR44" s="60">
        <v>0</v>
      </c>
      <c r="AS44" s="60"/>
      <c r="AT44" s="60"/>
      <c r="AU44" s="60"/>
      <c r="AV44" s="64"/>
      <c r="AW44" s="55">
        <f t="shared" si="0"/>
        <v>1601380338</v>
      </c>
      <c r="AX44" s="55">
        <f t="shared" si="1"/>
        <v>321738480</v>
      </c>
      <c r="AY44" s="55">
        <f t="shared" si="2"/>
        <v>344260174</v>
      </c>
      <c r="AZ44" s="55">
        <f t="shared" si="3"/>
        <v>368358386</v>
      </c>
      <c r="BA44" s="55">
        <f t="shared" si="4"/>
        <v>2635737378</v>
      </c>
    </row>
    <row r="45" spans="1:133" s="4" customFormat="1" ht="409.5" x14ac:dyDescent="0.25">
      <c r="A45" s="148" t="s">
        <v>28</v>
      </c>
      <c r="B45" s="56" t="s">
        <v>91</v>
      </c>
      <c r="C45" s="56" t="s">
        <v>105</v>
      </c>
      <c r="D45" s="110" t="s">
        <v>106</v>
      </c>
      <c r="E45" s="110" t="s">
        <v>107</v>
      </c>
      <c r="F45" s="110" t="s">
        <v>108</v>
      </c>
      <c r="G45" s="66" t="s">
        <v>123</v>
      </c>
      <c r="H45" s="66" t="s">
        <v>1185</v>
      </c>
      <c r="I45" s="109" t="s">
        <v>125</v>
      </c>
      <c r="J45" s="109" t="s">
        <v>1682</v>
      </c>
      <c r="K45" s="181" t="s">
        <v>90</v>
      </c>
      <c r="L45" s="179">
        <v>90</v>
      </c>
      <c r="M45" s="108" t="s">
        <v>96</v>
      </c>
      <c r="N45" s="108" t="s">
        <v>97</v>
      </c>
      <c r="O45" s="54" t="s">
        <v>98</v>
      </c>
      <c r="P45" s="88" t="s">
        <v>39</v>
      </c>
      <c r="Q45" s="168" t="s">
        <v>1679</v>
      </c>
      <c r="R45" s="182">
        <v>10</v>
      </c>
      <c r="S45" s="178">
        <v>40</v>
      </c>
      <c r="T45" s="178">
        <v>70</v>
      </c>
      <c r="U45" s="183">
        <v>90</v>
      </c>
      <c r="V45" s="59">
        <v>1000000000</v>
      </c>
      <c r="W45" s="60">
        <f t="shared" si="5"/>
        <v>601380338</v>
      </c>
      <c r="X45" s="60">
        <v>0</v>
      </c>
      <c r="Y45" s="60"/>
      <c r="Z45" s="60"/>
      <c r="AA45" s="61"/>
      <c r="AB45" s="62"/>
      <c r="AC45" s="60">
        <v>321738480</v>
      </c>
      <c r="AD45" s="60">
        <v>0</v>
      </c>
      <c r="AE45" s="60"/>
      <c r="AF45" s="60"/>
      <c r="AG45" s="60"/>
      <c r="AH45" s="63"/>
      <c r="AI45" s="62">
        <v>0</v>
      </c>
      <c r="AJ45" s="60">
        <v>344260174</v>
      </c>
      <c r="AK45" s="60">
        <v>0</v>
      </c>
      <c r="AL45" s="60"/>
      <c r="AM45" s="60"/>
      <c r="AN45" s="60"/>
      <c r="AO45" s="63"/>
      <c r="AP45" s="62">
        <v>0</v>
      </c>
      <c r="AQ45" s="60">
        <v>368358386</v>
      </c>
      <c r="AR45" s="60">
        <v>0</v>
      </c>
      <c r="AS45" s="60"/>
      <c r="AT45" s="60"/>
      <c r="AU45" s="60"/>
      <c r="AV45" s="64"/>
      <c r="AW45" s="55">
        <f t="shared" si="0"/>
        <v>1601380338</v>
      </c>
      <c r="AX45" s="55">
        <f t="shared" si="1"/>
        <v>321738480</v>
      </c>
      <c r="AY45" s="55">
        <f t="shared" si="2"/>
        <v>344260174</v>
      </c>
      <c r="AZ45" s="55">
        <f t="shared" si="3"/>
        <v>368358386</v>
      </c>
      <c r="BA45" s="55">
        <f t="shared" si="4"/>
        <v>2635737378</v>
      </c>
    </row>
    <row r="46" spans="1:133" s="22" customFormat="1" ht="409.5" x14ac:dyDescent="0.25">
      <c r="A46" s="148" t="s">
        <v>28</v>
      </c>
      <c r="B46" s="56" t="s">
        <v>91</v>
      </c>
      <c r="C46" s="56" t="s">
        <v>105</v>
      </c>
      <c r="D46" s="110" t="s">
        <v>106</v>
      </c>
      <c r="E46" s="110" t="s">
        <v>107</v>
      </c>
      <c r="F46" s="110" t="s">
        <v>108</v>
      </c>
      <c r="G46" s="66" t="s">
        <v>123</v>
      </c>
      <c r="H46" s="66" t="s">
        <v>1186</v>
      </c>
      <c r="I46" s="108" t="s">
        <v>126</v>
      </c>
      <c r="J46" s="108" t="s">
        <v>1683</v>
      </c>
      <c r="K46" s="178">
        <v>154</v>
      </c>
      <c r="L46" s="178">
        <v>154</v>
      </c>
      <c r="M46" s="108" t="s">
        <v>96</v>
      </c>
      <c r="N46" s="108" t="s">
        <v>97</v>
      </c>
      <c r="O46" s="54" t="s">
        <v>98</v>
      </c>
      <c r="P46" s="67" t="s">
        <v>42</v>
      </c>
      <c r="Q46" s="54" t="s">
        <v>1679</v>
      </c>
      <c r="R46" s="182">
        <v>154</v>
      </c>
      <c r="S46" s="178">
        <v>154</v>
      </c>
      <c r="T46" s="178">
        <v>154</v>
      </c>
      <c r="U46" s="183">
        <v>154</v>
      </c>
      <c r="V46" s="59">
        <v>1000000000</v>
      </c>
      <c r="W46" s="60">
        <f t="shared" si="5"/>
        <v>601380338</v>
      </c>
      <c r="X46" s="60">
        <v>0</v>
      </c>
      <c r="Y46" s="60"/>
      <c r="Z46" s="60"/>
      <c r="AA46" s="61"/>
      <c r="AB46" s="62"/>
      <c r="AC46" s="60">
        <v>1286953923</v>
      </c>
      <c r="AD46" s="60">
        <v>0</v>
      </c>
      <c r="AE46" s="60"/>
      <c r="AF46" s="60"/>
      <c r="AG46" s="60"/>
      <c r="AH46" s="63"/>
      <c r="AI46" s="62">
        <v>0</v>
      </c>
      <c r="AJ46" s="60">
        <v>1377040697</v>
      </c>
      <c r="AK46" s="60">
        <v>0</v>
      </c>
      <c r="AL46" s="60"/>
      <c r="AM46" s="60"/>
      <c r="AN46" s="60"/>
      <c r="AO46" s="63"/>
      <c r="AP46" s="62">
        <v>0</v>
      </c>
      <c r="AQ46" s="60">
        <v>1473433546</v>
      </c>
      <c r="AR46" s="60">
        <v>0</v>
      </c>
      <c r="AS46" s="60"/>
      <c r="AT46" s="60"/>
      <c r="AU46" s="60"/>
      <c r="AV46" s="64"/>
      <c r="AW46" s="55">
        <f t="shared" si="0"/>
        <v>1601380338</v>
      </c>
      <c r="AX46" s="55">
        <f t="shared" si="1"/>
        <v>1286953923</v>
      </c>
      <c r="AY46" s="55">
        <f t="shared" si="2"/>
        <v>1377040697</v>
      </c>
      <c r="AZ46" s="55">
        <f t="shared" si="3"/>
        <v>1473433546</v>
      </c>
      <c r="BA46" s="55">
        <f t="shared" si="4"/>
        <v>5738808504</v>
      </c>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row>
    <row r="47" spans="1:133" ht="409.5" x14ac:dyDescent="0.25">
      <c r="A47" s="148" t="s">
        <v>28</v>
      </c>
      <c r="B47" s="56" t="s">
        <v>91</v>
      </c>
      <c r="C47" s="56" t="s">
        <v>105</v>
      </c>
      <c r="D47" s="110" t="s">
        <v>106</v>
      </c>
      <c r="E47" s="110" t="s">
        <v>107</v>
      </c>
      <c r="F47" s="110" t="s">
        <v>108</v>
      </c>
      <c r="G47" s="66" t="s">
        <v>123</v>
      </c>
      <c r="H47" s="66" t="s">
        <v>1187</v>
      </c>
      <c r="I47" s="108" t="s">
        <v>127</v>
      </c>
      <c r="J47" s="108" t="s">
        <v>1682</v>
      </c>
      <c r="K47" s="178">
        <v>100</v>
      </c>
      <c r="L47" s="179">
        <v>100</v>
      </c>
      <c r="M47" s="108" t="s">
        <v>96</v>
      </c>
      <c r="N47" s="108" t="s">
        <v>97</v>
      </c>
      <c r="O47" s="54" t="s">
        <v>98</v>
      </c>
      <c r="P47" s="67" t="s">
        <v>42</v>
      </c>
      <c r="Q47" s="54" t="s">
        <v>1679</v>
      </c>
      <c r="R47" s="182">
        <v>100</v>
      </c>
      <c r="S47" s="178">
        <v>100</v>
      </c>
      <c r="T47" s="178">
        <v>100</v>
      </c>
      <c r="U47" s="183">
        <v>100</v>
      </c>
      <c r="V47" s="59">
        <v>1000000000</v>
      </c>
      <c r="W47" s="60">
        <f t="shared" si="5"/>
        <v>601380338</v>
      </c>
      <c r="X47" s="60">
        <f>126372012.666667</f>
        <v>126372012.666667</v>
      </c>
      <c r="Y47" s="60"/>
      <c r="Z47" s="60"/>
      <c r="AA47" s="61"/>
      <c r="AB47" s="62"/>
      <c r="AC47" s="60">
        <v>643476961</v>
      </c>
      <c r="AD47" s="60">
        <v>135218053</v>
      </c>
      <c r="AE47" s="60"/>
      <c r="AF47" s="60"/>
      <c r="AG47" s="60"/>
      <c r="AH47" s="63"/>
      <c r="AI47" s="62">
        <v>0</v>
      </c>
      <c r="AJ47" s="60">
        <v>688520348</v>
      </c>
      <c r="AK47" s="60">
        <v>0</v>
      </c>
      <c r="AL47" s="60"/>
      <c r="AM47" s="60"/>
      <c r="AN47" s="60"/>
      <c r="AO47" s="63"/>
      <c r="AP47" s="62">
        <v>0</v>
      </c>
      <c r="AQ47" s="60">
        <v>736716773</v>
      </c>
      <c r="AR47" s="60">
        <v>0</v>
      </c>
      <c r="AS47" s="60"/>
      <c r="AT47" s="60"/>
      <c r="AU47" s="60"/>
      <c r="AV47" s="64"/>
      <c r="AW47" s="55">
        <f t="shared" si="0"/>
        <v>1727752350.666667</v>
      </c>
      <c r="AX47" s="55">
        <f t="shared" si="1"/>
        <v>778695014</v>
      </c>
      <c r="AY47" s="55">
        <f t="shared" si="2"/>
        <v>688520348</v>
      </c>
      <c r="AZ47" s="55">
        <f t="shared" si="3"/>
        <v>736716773</v>
      </c>
      <c r="BA47" s="55">
        <f t="shared" si="4"/>
        <v>3931684485.666667</v>
      </c>
    </row>
    <row r="48" spans="1:133" s="22" customFormat="1" ht="409.5" x14ac:dyDescent="0.25">
      <c r="A48" s="148" t="s">
        <v>28</v>
      </c>
      <c r="B48" s="56" t="s">
        <v>91</v>
      </c>
      <c r="C48" s="56" t="s">
        <v>105</v>
      </c>
      <c r="D48" s="110" t="s">
        <v>106</v>
      </c>
      <c r="E48" s="110" t="s">
        <v>107</v>
      </c>
      <c r="F48" s="110" t="s">
        <v>108</v>
      </c>
      <c r="G48" s="66" t="s">
        <v>123</v>
      </c>
      <c r="H48" s="66" t="s">
        <v>1188</v>
      </c>
      <c r="I48" s="108" t="s">
        <v>128</v>
      </c>
      <c r="J48" s="108" t="s">
        <v>1682</v>
      </c>
      <c r="K48" s="178">
        <v>95</v>
      </c>
      <c r="L48" s="179">
        <v>95</v>
      </c>
      <c r="M48" s="108" t="s">
        <v>96</v>
      </c>
      <c r="N48" s="108" t="s">
        <v>97</v>
      </c>
      <c r="O48" s="54" t="s">
        <v>98</v>
      </c>
      <c r="P48" s="67" t="s">
        <v>42</v>
      </c>
      <c r="Q48" s="54" t="s">
        <v>1679</v>
      </c>
      <c r="R48" s="182">
        <v>95</v>
      </c>
      <c r="S48" s="178">
        <v>95</v>
      </c>
      <c r="T48" s="178">
        <v>95</v>
      </c>
      <c r="U48" s="183">
        <v>95</v>
      </c>
      <c r="V48" s="59">
        <v>1000000000</v>
      </c>
      <c r="W48" s="60">
        <f t="shared" si="5"/>
        <v>601380338</v>
      </c>
      <c r="X48" s="60">
        <v>0</v>
      </c>
      <c r="Y48" s="60"/>
      <c r="Z48" s="60"/>
      <c r="AA48" s="61"/>
      <c r="AB48" s="62"/>
      <c r="AC48" s="60">
        <v>643476961</v>
      </c>
      <c r="AD48" s="60">
        <v>0</v>
      </c>
      <c r="AE48" s="60"/>
      <c r="AF48" s="60"/>
      <c r="AG48" s="60"/>
      <c r="AH48" s="63"/>
      <c r="AI48" s="62">
        <v>0</v>
      </c>
      <c r="AJ48" s="60">
        <v>688520348</v>
      </c>
      <c r="AK48" s="60">
        <v>0</v>
      </c>
      <c r="AL48" s="60"/>
      <c r="AM48" s="60"/>
      <c r="AN48" s="60"/>
      <c r="AO48" s="63"/>
      <c r="AP48" s="62">
        <v>0</v>
      </c>
      <c r="AQ48" s="60">
        <v>736716773</v>
      </c>
      <c r="AR48" s="60">
        <v>0</v>
      </c>
      <c r="AS48" s="60"/>
      <c r="AT48" s="60"/>
      <c r="AU48" s="60"/>
      <c r="AV48" s="64"/>
      <c r="AW48" s="55">
        <f t="shared" si="0"/>
        <v>1601380338</v>
      </c>
      <c r="AX48" s="55">
        <f t="shared" si="1"/>
        <v>643476961</v>
      </c>
      <c r="AY48" s="55">
        <f t="shared" si="2"/>
        <v>688520348</v>
      </c>
      <c r="AZ48" s="55">
        <f t="shared" si="3"/>
        <v>736716773</v>
      </c>
      <c r="BA48" s="55">
        <f t="shared" si="4"/>
        <v>3670094420</v>
      </c>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row>
    <row r="49" spans="1:133" ht="409.5" x14ac:dyDescent="0.25">
      <c r="A49" s="148" t="s">
        <v>28</v>
      </c>
      <c r="B49" s="56" t="s">
        <v>91</v>
      </c>
      <c r="C49" s="56" t="s">
        <v>105</v>
      </c>
      <c r="D49" s="110" t="s">
        <v>106</v>
      </c>
      <c r="E49" s="110" t="s">
        <v>107</v>
      </c>
      <c r="F49" s="110" t="s">
        <v>108</v>
      </c>
      <c r="G49" s="66" t="s">
        <v>123</v>
      </c>
      <c r="H49" s="66" t="s">
        <v>1189</v>
      </c>
      <c r="I49" s="108" t="s">
        <v>129</v>
      </c>
      <c r="J49" s="108" t="s">
        <v>1682</v>
      </c>
      <c r="K49" s="178">
        <v>100</v>
      </c>
      <c r="L49" s="179">
        <v>100</v>
      </c>
      <c r="M49" s="108" t="s">
        <v>96</v>
      </c>
      <c r="N49" s="108" t="s">
        <v>97</v>
      </c>
      <c r="O49" s="54" t="s">
        <v>98</v>
      </c>
      <c r="P49" s="67" t="s">
        <v>42</v>
      </c>
      <c r="Q49" s="54" t="s">
        <v>1679</v>
      </c>
      <c r="R49" s="182">
        <v>100</v>
      </c>
      <c r="S49" s="178">
        <v>100</v>
      </c>
      <c r="T49" s="178">
        <v>100</v>
      </c>
      <c r="U49" s="183">
        <v>100</v>
      </c>
      <c r="V49" s="59">
        <v>1000000000</v>
      </c>
      <c r="W49" s="60">
        <f t="shared" si="5"/>
        <v>601380338</v>
      </c>
      <c r="X49" s="60">
        <v>0</v>
      </c>
      <c r="Y49" s="60"/>
      <c r="Z49" s="60"/>
      <c r="AA49" s="61"/>
      <c r="AB49" s="62"/>
      <c r="AC49" s="60">
        <v>643476961</v>
      </c>
      <c r="AD49" s="60">
        <v>0</v>
      </c>
      <c r="AE49" s="60"/>
      <c r="AF49" s="60"/>
      <c r="AG49" s="60"/>
      <c r="AH49" s="63"/>
      <c r="AI49" s="62">
        <v>0</v>
      </c>
      <c r="AJ49" s="60">
        <v>688520348</v>
      </c>
      <c r="AK49" s="60">
        <v>0</v>
      </c>
      <c r="AL49" s="60"/>
      <c r="AM49" s="60"/>
      <c r="AN49" s="60"/>
      <c r="AO49" s="63"/>
      <c r="AP49" s="62"/>
      <c r="AQ49" s="60">
        <v>736716773</v>
      </c>
      <c r="AR49" s="60"/>
      <c r="AS49" s="60"/>
      <c r="AT49" s="60"/>
      <c r="AU49" s="60"/>
      <c r="AV49" s="64"/>
      <c r="AW49" s="55">
        <f t="shared" si="0"/>
        <v>1601380338</v>
      </c>
      <c r="AX49" s="55">
        <f t="shared" si="1"/>
        <v>643476961</v>
      </c>
      <c r="AY49" s="55">
        <f t="shared" si="2"/>
        <v>688520348</v>
      </c>
      <c r="AZ49" s="55">
        <f t="shared" si="3"/>
        <v>736716773</v>
      </c>
      <c r="BA49" s="55">
        <f t="shared" si="4"/>
        <v>3670094420</v>
      </c>
    </row>
    <row r="50" spans="1:133" s="22" customFormat="1" ht="409.5" x14ac:dyDescent="0.25">
      <c r="A50" s="148" t="s">
        <v>28</v>
      </c>
      <c r="B50" s="56" t="s">
        <v>91</v>
      </c>
      <c r="C50" s="56" t="s">
        <v>105</v>
      </c>
      <c r="D50" s="110" t="s">
        <v>106</v>
      </c>
      <c r="E50" s="110" t="s">
        <v>107</v>
      </c>
      <c r="F50" s="110" t="s">
        <v>108</v>
      </c>
      <c r="G50" s="66" t="s">
        <v>123</v>
      </c>
      <c r="H50" s="66" t="s">
        <v>1190</v>
      </c>
      <c r="I50" s="108" t="s">
        <v>130</v>
      </c>
      <c r="J50" s="108" t="s">
        <v>1682</v>
      </c>
      <c r="K50" s="178">
        <v>84</v>
      </c>
      <c r="L50" s="179">
        <v>95</v>
      </c>
      <c r="M50" s="108" t="s">
        <v>96</v>
      </c>
      <c r="N50" s="108" t="s">
        <v>97</v>
      </c>
      <c r="O50" s="54" t="s">
        <v>98</v>
      </c>
      <c r="P50" s="72" t="s">
        <v>1677</v>
      </c>
      <c r="Q50" s="167" t="s">
        <v>1679</v>
      </c>
      <c r="R50" s="182">
        <v>84</v>
      </c>
      <c r="S50" s="178">
        <v>87</v>
      </c>
      <c r="T50" s="178">
        <v>90</v>
      </c>
      <c r="U50" s="183">
        <v>95</v>
      </c>
      <c r="V50" s="59">
        <v>1000000000</v>
      </c>
      <c r="W50" s="60">
        <f t="shared" si="5"/>
        <v>601380338</v>
      </c>
      <c r="X50" s="60">
        <v>0</v>
      </c>
      <c r="Y50" s="60"/>
      <c r="Z50" s="60"/>
      <c r="AA50" s="61"/>
      <c r="AB50" s="62"/>
      <c r="AC50" s="60">
        <v>643476961</v>
      </c>
      <c r="AD50" s="60">
        <v>0</v>
      </c>
      <c r="AE50" s="60"/>
      <c r="AF50" s="60"/>
      <c r="AG50" s="60"/>
      <c r="AH50" s="63"/>
      <c r="AI50" s="62">
        <v>0</v>
      </c>
      <c r="AJ50" s="60">
        <v>688520348</v>
      </c>
      <c r="AK50" s="60">
        <v>0</v>
      </c>
      <c r="AL50" s="60"/>
      <c r="AM50" s="60"/>
      <c r="AN50" s="60"/>
      <c r="AO50" s="63"/>
      <c r="AP50" s="62"/>
      <c r="AQ50" s="60">
        <v>736716773</v>
      </c>
      <c r="AR50" s="60"/>
      <c r="AS50" s="60"/>
      <c r="AT50" s="60"/>
      <c r="AU50" s="60"/>
      <c r="AV50" s="64"/>
      <c r="AW50" s="55">
        <f t="shared" si="0"/>
        <v>1601380338</v>
      </c>
      <c r="AX50" s="55">
        <f t="shared" si="1"/>
        <v>643476961</v>
      </c>
      <c r="AY50" s="55">
        <f t="shared" si="2"/>
        <v>688520348</v>
      </c>
      <c r="AZ50" s="55">
        <f t="shared" si="3"/>
        <v>736716773</v>
      </c>
      <c r="BA50" s="55">
        <f t="shared" si="4"/>
        <v>3670094420</v>
      </c>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row>
    <row r="51" spans="1:133" s="4" customFormat="1" ht="409.5" x14ac:dyDescent="0.25">
      <c r="A51" s="148" t="s">
        <v>28</v>
      </c>
      <c r="B51" s="56" t="s">
        <v>91</v>
      </c>
      <c r="C51" s="56" t="s">
        <v>105</v>
      </c>
      <c r="D51" s="110" t="s">
        <v>106</v>
      </c>
      <c r="E51" s="110" t="s">
        <v>107</v>
      </c>
      <c r="F51" s="110" t="s">
        <v>108</v>
      </c>
      <c r="G51" s="66" t="s">
        <v>123</v>
      </c>
      <c r="H51" s="66" t="s">
        <v>1191</v>
      </c>
      <c r="I51" s="108" t="s">
        <v>131</v>
      </c>
      <c r="J51" s="108" t="s">
        <v>1683</v>
      </c>
      <c r="K51" s="178">
        <v>33</v>
      </c>
      <c r="L51" s="178">
        <v>33</v>
      </c>
      <c r="M51" s="108" t="s">
        <v>96</v>
      </c>
      <c r="N51" s="108" t="s">
        <v>97</v>
      </c>
      <c r="O51" s="54" t="s">
        <v>98</v>
      </c>
      <c r="P51" s="67" t="s">
        <v>42</v>
      </c>
      <c r="Q51" s="54" t="s">
        <v>1679</v>
      </c>
      <c r="R51" s="182">
        <v>33</v>
      </c>
      <c r="S51" s="178">
        <v>33</v>
      </c>
      <c r="T51" s="178">
        <v>33</v>
      </c>
      <c r="U51" s="183">
        <v>33</v>
      </c>
      <c r="V51" s="59">
        <v>1000000000</v>
      </c>
      <c r="W51" s="60">
        <f t="shared" si="5"/>
        <v>601380338</v>
      </c>
      <c r="X51" s="60">
        <f>126372012.666667</f>
        <v>126372012.666667</v>
      </c>
      <c r="Y51" s="60"/>
      <c r="Z51" s="60"/>
      <c r="AA51" s="61"/>
      <c r="AB51" s="62"/>
      <c r="AC51" s="60">
        <v>643476961</v>
      </c>
      <c r="AD51" s="60">
        <v>135218053</v>
      </c>
      <c r="AE51" s="60"/>
      <c r="AF51" s="60"/>
      <c r="AG51" s="60"/>
      <c r="AH51" s="63"/>
      <c r="AI51" s="62">
        <v>0</v>
      </c>
      <c r="AJ51" s="60">
        <v>688520348</v>
      </c>
      <c r="AK51" s="60">
        <v>144683317</v>
      </c>
      <c r="AL51" s="60"/>
      <c r="AM51" s="60"/>
      <c r="AN51" s="60"/>
      <c r="AO51" s="63"/>
      <c r="AP51" s="62"/>
      <c r="AQ51" s="60">
        <v>736716773</v>
      </c>
      <c r="AR51" s="60">
        <v>154811149</v>
      </c>
      <c r="AS51" s="60"/>
      <c r="AT51" s="60"/>
      <c r="AU51" s="60"/>
      <c r="AV51" s="64"/>
      <c r="AW51" s="55">
        <f t="shared" si="0"/>
        <v>1727752350.666667</v>
      </c>
      <c r="AX51" s="55">
        <f t="shared" si="1"/>
        <v>778695014</v>
      </c>
      <c r="AY51" s="55">
        <f t="shared" si="2"/>
        <v>833203665</v>
      </c>
      <c r="AZ51" s="55">
        <f t="shared" si="3"/>
        <v>891527922</v>
      </c>
      <c r="BA51" s="55">
        <f t="shared" si="4"/>
        <v>4231178951.666667</v>
      </c>
    </row>
    <row r="52" spans="1:133" ht="409.5" x14ac:dyDescent="0.25">
      <c r="A52" s="148" t="s">
        <v>28</v>
      </c>
      <c r="B52" s="56" t="s">
        <v>91</v>
      </c>
      <c r="C52" s="56" t="s">
        <v>105</v>
      </c>
      <c r="D52" s="110" t="s">
        <v>106</v>
      </c>
      <c r="E52" s="110" t="s">
        <v>107</v>
      </c>
      <c r="F52" s="110" t="s">
        <v>108</v>
      </c>
      <c r="G52" s="66" t="s">
        <v>123</v>
      </c>
      <c r="H52" s="66" t="s">
        <v>1192</v>
      </c>
      <c r="I52" s="108" t="s">
        <v>1139</v>
      </c>
      <c r="J52" s="108" t="s">
        <v>1682</v>
      </c>
      <c r="K52" s="178">
        <v>100</v>
      </c>
      <c r="L52" s="179">
        <v>95</v>
      </c>
      <c r="M52" s="108" t="s">
        <v>96</v>
      </c>
      <c r="N52" s="108" t="s">
        <v>97</v>
      </c>
      <c r="O52" s="54" t="s">
        <v>98</v>
      </c>
      <c r="P52" s="67" t="s">
        <v>42</v>
      </c>
      <c r="Q52" s="54" t="s">
        <v>1679</v>
      </c>
      <c r="R52" s="182">
        <v>95</v>
      </c>
      <c r="S52" s="178">
        <v>95</v>
      </c>
      <c r="T52" s="178">
        <v>95</v>
      </c>
      <c r="U52" s="183">
        <v>95</v>
      </c>
      <c r="V52" s="59">
        <v>1000000000</v>
      </c>
      <c r="W52" s="60">
        <f t="shared" si="5"/>
        <v>601380338</v>
      </c>
      <c r="X52" s="60">
        <f>126372012.666667</f>
        <v>126372012.666667</v>
      </c>
      <c r="Y52" s="60"/>
      <c r="Z52" s="60"/>
      <c r="AA52" s="61"/>
      <c r="AB52" s="62"/>
      <c r="AC52" s="60">
        <v>643476961</v>
      </c>
      <c r="AD52" s="60">
        <v>135218053</v>
      </c>
      <c r="AE52" s="60"/>
      <c r="AF52" s="60"/>
      <c r="AG52" s="60"/>
      <c r="AH52" s="63"/>
      <c r="AI52" s="62">
        <v>0</v>
      </c>
      <c r="AJ52" s="60">
        <v>688520348</v>
      </c>
      <c r="AK52" s="60">
        <v>144683317</v>
      </c>
      <c r="AL52" s="60"/>
      <c r="AM52" s="60"/>
      <c r="AN52" s="60"/>
      <c r="AO52" s="63"/>
      <c r="AP52" s="62"/>
      <c r="AQ52" s="60">
        <v>736716773</v>
      </c>
      <c r="AR52" s="60">
        <v>154811149</v>
      </c>
      <c r="AS52" s="60"/>
      <c r="AT52" s="60"/>
      <c r="AU52" s="60"/>
      <c r="AV52" s="64"/>
      <c r="AW52" s="55">
        <f t="shared" si="0"/>
        <v>1727752350.666667</v>
      </c>
      <c r="AX52" s="55">
        <f t="shared" si="1"/>
        <v>778695014</v>
      </c>
      <c r="AY52" s="55">
        <f t="shared" si="2"/>
        <v>833203665</v>
      </c>
      <c r="AZ52" s="55">
        <f t="shared" si="3"/>
        <v>891527922</v>
      </c>
      <c r="BA52" s="55">
        <f t="shared" si="4"/>
        <v>4231178951.666667</v>
      </c>
    </row>
    <row r="53" spans="1:133" ht="409.5" x14ac:dyDescent="0.25">
      <c r="A53" s="148" t="s">
        <v>28</v>
      </c>
      <c r="B53" s="56" t="s">
        <v>91</v>
      </c>
      <c r="C53" s="56" t="s">
        <v>105</v>
      </c>
      <c r="D53" s="110" t="s">
        <v>106</v>
      </c>
      <c r="E53" s="110" t="s">
        <v>107</v>
      </c>
      <c r="F53" s="110" t="s">
        <v>108</v>
      </c>
      <c r="G53" s="68" t="s">
        <v>132</v>
      </c>
      <c r="H53" s="68" t="s">
        <v>1193</v>
      </c>
      <c r="I53" s="108" t="s">
        <v>133</v>
      </c>
      <c r="J53" s="108" t="s">
        <v>1683</v>
      </c>
      <c r="K53" s="180">
        <v>0</v>
      </c>
      <c r="L53" s="180">
        <v>8</v>
      </c>
      <c r="M53" s="108" t="s">
        <v>96</v>
      </c>
      <c r="N53" s="108" t="s">
        <v>97</v>
      </c>
      <c r="O53" s="54" t="s">
        <v>98</v>
      </c>
      <c r="P53" s="78" t="s">
        <v>39</v>
      </c>
      <c r="Q53" s="170" t="s">
        <v>1680</v>
      </c>
      <c r="R53" s="184">
        <v>0</v>
      </c>
      <c r="S53" s="185">
        <v>3</v>
      </c>
      <c r="T53" s="185">
        <v>3</v>
      </c>
      <c r="U53" s="186">
        <v>2</v>
      </c>
      <c r="V53" s="59"/>
      <c r="W53" s="60"/>
      <c r="X53" s="60"/>
      <c r="Y53" s="60"/>
      <c r="Z53" s="60"/>
      <c r="AA53" s="61"/>
      <c r="AB53" s="62"/>
      <c r="AC53" s="60">
        <v>80219079600</v>
      </c>
      <c r="AD53" s="60">
        <v>0</v>
      </c>
      <c r="AE53" s="60"/>
      <c r="AF53" s="60"/>
      <c r="AG53" s="60"/>
      <c r="AH53" s="63"/>
      <c r="AI53" s="62">
        <v>0</v>
      </c>
      <c r="AJ53" s="60">
        <v>80630415172</v>
      </c>
      <c r="AK53" s="60">
        <v>0</v>
      </c>
      <c r="AL53" s="60"/>
      <c r="AM53" s="60"/>
      <c r="AN53" s="60"/>
      <c r="AO53" s="63"/>
      <c r="AP53" s="62">
        <v>107630824234</v>
      </c>
      <c r="AQ53" s="60"/>
      <c r="AR53" s="60"/>
      <c r="AS53" s="60"/>
      <c r="AT53" s="60"/>
      <c r="AU53" s="60"/>
      <c r="AV53" s="64"/>
      <c r="AW53" s="55">
        <f t="shared" si="0"/>
        <v>0</v>
      </c>
      <c r="AX53" s="55">
        <f t="shared" si="1"/>
        <v>80219079600</v>
      </c>
      <c r="AY53" s="55">
        <f t="shared" si="2"/>
        <v>80630415172</v>
      </c>
      <c r="AZ53" s="55">
        <f t="shared" si="3"/>
        <v>107630824234</v>
      </c>
      <c r="BA53" s="55">
        <f t="shared" si="4"/>
        <v>268480319006</v>
      </c>
    </row>
    <row r="54" spans="1:133" ht="409.5" x14ac:dyDescent="0.25">
      <c r="A54" s="148" t="s">
        <v>28</v>
      </c>
      <c r="B54" s="56" t="s">
        <v>91</v>
      </c>
      <c r="C54" s="56" t="s">
        <v>105</v>
      </c>
      <c r="D54" s="110" t="s">
        <v>106</v>
      </c>
      <c r="E54" s="110" t="s">
        <v>107</v>
      </c>
      <c r="F54" s="110" t="s">
        <v>108</v>
      </c>
      <c r="G54" s="68" t="s">
        <v>132</v>
      </c>
      <c r="H54" s="68" t="s">
        <v>1194</v>
      </c>
      <c r="I54" s="108" t="s">
        <v>134</v>
      </c>
      <c r="J54" s="108" t="s">
        <v>1682</v>
      </c>
      <c r="K54" s="178">
        <v>80</v>
      </c>
      <c r="L54" s="179">
        <v>100</v>
      </c>
      <c r="M54" s="108" t="s">
        <v>96</v>
      </c>
      <c r="N54" s="108" t="s">
        <v>97</v>
      </c>
      <c r="O54" s="54" t="s">
        <v>98</v>
      </c>
      <c r="P54" s="72" t="s">
        <v>1677</v>
      </c>
      <c r="Q54" s="167" t="s">
        <v>1679</v>
      </c>
      <c r="R54" s="182">
        <v>85</v>
      </c>
      <c r="S54" s="178">
        <v>90</v>
      </c>
      <c r="T54" s="178">
        <v>95</v>
      </c>
      <c r="U54" s="183">
        <v>100</v>
      </c>
      <c r="V54" s="59">
        <v>2500000000</v>
      </c>
      <c r="W54" s="60">
        <v>112354280</v>
      </c>
      <c r="X54" s="60">
        <v>0</v>
      </c>
      <c r="Y54" s="60"/>
      <c r="Z54" s="60"/>
      <c r="AA54" s="61"/>
      <c r="AB54" s="62"/>
      <c r="AC54" s="60">
        <v>9000000</v>
      </c>
      <c r="AD54" s="60">
        <v>0</v>
      </c>
      <c r="AE54" s="60"/>
      <c r="AF54" s="60"/>
      <c r="AG54" s="60"/>
      <c r="AH54" s="63"/>
      <c r="AI54" s="62">
        <v>0</v>
      </c>
      <c r="AJ54" s="60">
        <v>8000000</v>
      </c>
      <c r="AK54" s="60">
        <v>0</v>
      </c>
      <c r="AL54" s="60"/>
      <c r="AM54" s="60"/>
      <c r="AN54" s="60"/>
      <c r="AO54" s="63"/>
      <c r="AP54" s="62">
        <v>8000000</v>
      </c>
      <c r="AQ54" s="60"/>
      <c r="AR54" s="60"/>
      <c r="AS54" s="60"/>
      <c r="AT54" s="60"/>
      <c r="AU54" s="60"/>
      <c r="AV54" s="64"/>
      <c r="AW54" s="55">
        <f t="shared" si="0"/>
        <v>2612354280</v>
      </c>
      <c r="AX54" s="55">
        <f t="shared" si="1"/>
        <v>9000000</v>
      </c>
      <c r="AY54" s="55">
        <f t="shared" si="2"/>
        <v>8000000</v>
      </c>
      <c r="AZ54" s="55">
        <f t="shared" si="3"/>
        <v>8000000</v>
      </c>
      <c r="BA54" s="55">
        <f t="shared" si="4"/>
        <v>2637354280</v>
      </c>
    </row>
    <row r="55" spans="1:133" s="4" customFormat="1" ht="409.5" x14ac:dyDescent="0.25">
      <c r="A55" s="148" t="s">
        <v>28</v>
      </c>
      <c r="B55" s="56" t="s">
        <v>91</v>
      </c>
      <c r="C55" s="56" t="s">
        <v>105</v>
      </c>
      <c r="D55" s="110" t="s">
        <v>106</v>
      </c>
      <c r="E55" s="110" t="s">
        <v>107</v>
      </c>
      <c r="F55" s="110" t="s">
        <v>108</v>
      </c>
      <c r="G55" s="68" t="s">
        <v>132</v>
      </c>
      <c r="H55" s="68" t="s">
        <v>1195</v>
      </c>
      <c r="I55" s="108" t="s">
        <v>135</v>
      </c>
      <c r="J55" s="108" t="s">
        <v>1682</v>
      </c>
      <c r="K55" s="178" t="s">
        <v>90</v>
      </c>
      <c r="L55" s="179">
        <v>100</v>
      </c>
      <c r="M55" s="108" t="s">
        <v>96</v>
      </c>
      <c r="N55" s="108" t="s">
        <v>97</v>
      </c>
      <c r="O55" s="54" t="s">
        <v>98</v>
      </c>
      <c r="P55" s="78" t="s">
        <v>39</v>
      </c>
      <c r="Q55" s="170" t="s">
        <v>1679</v>
      </c>
      <c r="R55" s="182">
        <v>10</v>
      </c>
      <c r="S55" s="178">
        <v>30</v>
      </c>
      <c r="T55" s="178">
        <v>50</v>
      </c>
      <c r="U55" s="183">
        <v>100</v>
      </c>
      <c r="V55" s="59">
        <v>2500000000</v>
      </c>
      <c r="W55" s="60">
        <v>112354280</v>
      </c>
      <c r="X55" s="60">
        <v>0</v>
      </c>
      <c r="Y55" s="60"/>
      <c r="Z55" s="60"/>
      <c r="AA55" s="61"/>
      <c r="AB55" s="62"/>
      <c r="AC55" s="60">
        <v>120210079600</v>
      </c>
      <c r="AD55" s="60">
        <v>0</v>
      </c>
      <c r="AE55" s="60"/>
      <c r="AF55" s="60"/>
      <c r="AG55" s="60"/>
      <c r="AH55" s="63"/>
      <c r="AI55" s="62">
        <v>0</v>
      </c>
      <c r="AJ55" s="60">
        <v>80630415172</v>
      </c>
      <c r="AK55" s="60">
        <v>0</v>
      </c>
      <c r="AL55" s="60"/>
      <c r="AM55" s="60"/>
      <c r="AN55" s="60"/>
      <c r="AO55" s="63"/>
      <c r="AP55" s="62">
        <v>107638824234</v>
      </c>
      <c r="AQ55" s="60"/>
      <c r="AR55" s="60"/>
      <c r="AS55" s="60"/>
      <c r="AT55" s="60"/>
      <c r="AU55" s="60"/>
      <c r="AV55" s="64"/>
      <c r="AW55" s="55">
        <f t="shared" si="0"/>
        <v>2612354280</v>
      </c>
      <c r="AX55" s="55">
        <f t="shared" si="1"/>
        <v>120210079600</v>
      </c>
      <c r="AY55" s="55">
        <f t="shared" si="2"/>
        <v>80630415172</v>
      </c>
      <c r="AZ55" s="55">
        <f t="shared" si="3"/>
        <v>107638824234</v>
      </c>
      <c r="BA55" s="55">
        <f t="shared" si="4"/>
        <v>311091673286</v>
      </c>
    </row>
    <row r="56" spans="1:133" s="22" customFormat="1" ht="141.75" x14ac:dyDescent="0.25">
      <c r="A56" s="148" t="s">
        <v>28</v>
      </c>
      <c r="B56" s="56" t="s">
        <v>91</v>
      </c>
      <c r="C56" s="56" t="s">
        <v>136</v>
      </c>
      <c r="D56" s="56" t="s">
        <v>137</v>
      </c>
      <c r="E56" s="57">
        <v>0.69</v>
      </c>
      <c r="F56" s="57">
        <v>0.85</v>
      </c>
      <c r="G56" s="66" t="s">
        <v>138</v>
      </c>
      <c r="H56" s="66" t="s">
        <v>1196</v>
      </c>
      <c r="I56" s="108" t="s">
        <v>139</v>
      </c>
      <c r="J56" s="108" t="s">
        <v>1682</v>
      </c>
      <c r="K56" s="178" t="s">
        <v>90</v>
      </c>
      <c r="L56" s="179">
        <v>100</v>
      </c>
      <c r="M56" s="108" t="s">
        <v>96</v>
      </c>
      <c r="N56" s="108" t="s">
        <v>97</v>
      </c>
      <c r="O56" s="54" t="s">
        <v>98</v>
      </c>
      <c r="P56" s="72" t="s">
        <v>42</v>
      </c>
      <c r="Q56" s="54" t="s">
        <v>1679</v>
      </c>
      <c r="R56" s="182">
        <v>100</v>
      </c>
      <c r="S56" s="178">
        <v>100</v>
      </c>
      <c r="T56" s="178">
        <v>100</v>
      </c>
      <c r="U56" s="183">
        <v>100</v>
      </c>
      <c r="V56" s="59">
        <f>4378000000</f>
        <v>4378000000</v>
      </c>
      <c r="W56" s="60"/>
      <c r="X56" s="60"/>
      <c r="Y56" s="60"/>
      <c r="Z56" s="60"/>
      <c r="AA56" s="61"/>
      <c r="AB56" s="62">
        <v>390845000</v>
      </c>
      <c r="AC56" s="60"/>
      <c r="AD56" s="60"/>
      <c r="AE56" s="60"/>
      <c r="AF56" s="60"/>
      <c r="AG56" s="60"/>
      <c r="AH56" s="63"/>
      <c r="AI56" s="62">
        <v>208868625</v>
      </c>
      <c r="AJ56" s="60"/>
      <c r="AK56" s="60">
        <v>0</v>
      </c>
      <c r="AL56" s="60"/>
      <c r="AM56" s="60"/>
      <c r="AN56" s="60"/>
      <c r="AO56" s="63"/>
      <c r="AP56" s="62">
        <v>219312056</v>
      </c>
      <c r="AQ56" s="60"/>
      <c r="AR56" s="60"/>
      <c r="AS56" s="60"/>
      <c r="AT56" s="60"/>
      <c r="AU56" s="60"/>
      <c r="AV56" s="64"/>
      <c r="AW56" s="55">
        <f t="shared" si="0"/>
        <v>4378000000</v>
      </c>
      <c r="AX56" s="55">
        <f t="shared" si="1"/>
        <v>390845000</v>
      </c>
      <c r="AY56" s="55">
        <f t="shared" si="2"/>
        <v>208868625</v>
      </c>
      <c r="AZ56" s="55">
        <f t="shared" si="3"/>
        <v>219312056</v>
      </c>
      <c r="BA56" s="55">
        <f t="shared" si="4"/>
        <v>5197025681</v>
      </c>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row>
    <row r="57" spans="1:133" s="3" customFormat="1" ht="78.75" x14ac:dyDescent="0.25">
      <c r="A57" s="148" t="s">
        <v>28</v>
      </c>
      <c r="B57" s="56" t="s">
        <v>91</v>
      </c>
      <c r="C57" s="56" t="s">
        <v>136</v>
      </c>
      <c r="D57" s="56" t="s">
        <v>137</v>
      </c>
      <c r="E57" s="57">
        <v>0.69</v>
      </c>
      <c r="F57" s="57">
        <v>0.85</v>
      </c>
      <c r="G57" s="66" t="s">
        <v>138</v>
      </c>
      <c r="H57" s="66" t="s">
        <v>1197</v>
      </c>
      <c r="I57" s="108" t="s">
        <v>140</v>
      </c>
      <c r="J57" s="108" t="s">
        <v>1683</v>
      </c>
      <c r="K57" s="178">
        <v>811</v>
      </c>
      <c r="L57" s="178">
        <v>567.69999999999993</v>
      </c>
      <c r="M57" s="108" t="s">
        <v>96</v>
      </c>
      <c r="N57" s="108" t="s">
        <v>97</v>
      </c>
      <c r="O57" s="54" t="s">
        <v>98</v>
      </c>
      <c r="P57" s="67" t="s">
        <v>1678</v>
      </c>
      <c r="Q57" s="166" t="s">
        <v>1679</v>
      </c>
      <c r="R57" s="182">
        <v>800</v>
      </c>
      <c r="S57" s="178">
        <v>700</v>
      </c>
      <c r="T57" s="178">
        <v>600</v>
      </c>
      <c r="U57" s="183">
        <v>568</v>
      </c>
      <c r="V57" s="59">
        <v>900000</v>
      </c>
      <c r="W57" s="60"/>
      <c r="X57" s="60"/>
      <c r="Y57" s="60"/>
      <c r="Z57" s="60"/>
      <c r="AA57" s="61"/>
      <c r="AB57" s="62">
        <v>7000000</v>
      </c>
      <c r="AC57" s="60"/>
      <c r="AD57" s="60"/>
      <c r="AE57" s="60"/>
      <c r="AF57" s="60"/>
      <c r="AG57" s="60"/>
      <c r="AH57" s="63"/>
      <c r="AI57" s="62">
        <v>208868625</v>
      </c>
      <c r="AJ57" s="60">
        <v>0</v>
      </c>
      <c r="AK57" s="60">
        <v>0</v>
      </c>
      <c r="AL57" s="60"/>
      <c r="AM57" s="60"/>
      <c r="AN57" s="60"/>
      <c r="AO57" s="63"/>
      <c r="AP57" s="62">
        <v>219312056</v>
      </c>
      <c r="AQ57" s="60"/>
      <c r="AR57" s="60"/>
      <c r="AS57" s="60"/>
      <c r="AT57" s="60"/>
      <c r="AU57" s="60"/>
      <c r="AV57" s="64"/>
      <c r="AW57" s="55">
        <f t="shared" si="0"/>
        <v>900000</v>
      </c>
      <c r="AX57" s="55">
        <f t="shared" si="1"/>
        <v>7000000</v>
      </c>
      <c r="AY57" s="55">
        <f t="shared" si="2"/>
        <v>208868625</v>
      </c>
      <c r="AZ57" s="55">
        <f t="shared" si="3"/>
        <v>219312056</v>
      </c>
      <c r="BA57" s="55">
        <f t="shared" si="4"/>
        <v>436080681</v>
      </c>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row>
    <row r="58" spans="1:133" s="15" customFormat="1" ht="94.5" x14ac:dyDescent="0.25">
      <c r="A58" s="148" t="s">
        <v>28</v>
      </c>
      <c r="B58" s="56" t="s">
        <v>91</v>
      </c>
      <c r="C58" s="56" t="s">
        <v>136</v>
      </c>
      <c r="D58" s="56" t="s">
        <v>137</v>
      </c>
      <c r="E58" s="57">
        <v>0.69</v>
      </c>
      <c r="F58" s="57">
        <v>0.85</v>
      </c>
      <c r="G58" s="66" t="s">
        <v>141</v>
      </c>
      <c r="H58" s="66" t="s">
        <v>1198</v>
      </c>
      <c r="I58" s="94" t="s">
        <v>142</v>
      </c>
      <c r="J58" s="94" t="s">
        <v>1682</v>
      </c>
      <c r="K58" s="178">
        <v>0</v>
      </c>
      <c r="L58" s="179">
        <v>100</v>
      </c>
      <c r="M58" s="108" t="s">
        <v>96</v>
      </c>
      <c r="N58" s="108" t="s">
        <v>143</v>
      </c>
      <c r="O58" s="54" t="s">
        <v>98</v>
      </c>
      <c r="P58" s="88" t="s">
        <v>39</v>
      </c>
      <c r="Q58" s="168" t="s">
        <v>1679</v>
      </c>
      <c r="R58" s="182">
        <v>20</v>
      </c>
      <c r="S58" s="178">
        <v>60</v>
      </c>
      <c r="T58" s="178">
        <v>70</v>
      </c>
      <c r="U58" s="183">
        <v>100</v>
      </c>
      <c r="V58" s="59">
        <f>3267000000</f>
        <v>3267000000</v>
      </c>
      <c r="W58" s="60"/>
      <c r="X58" s="60"/>
      <c r="Y58" s="60"/>
      <c r="Z58" s="60"/>
      <c r="AA58" s="61"/>
      <c r="AB58" s="62">
        <v>140437500</v>
      </c>
      <c r="AC58" s="60"/>
      <c r="AD58" s="60"/>
      <c r="AE58" s="60"/>
      <c r="AF58" s="60"/>
      <c r="AG58" s="60"/>
      <c r="AH58" s="63"/>
      <c r="AI58" s="62">
        <v>147459375</v>
      </c>
      <c r="AJ58" s="60"/>
      <c r="AK58" s="60">
        <v>0</v>
      </c>
      <c r="AL58" s="60"/>
      <c r="AM58" s="60"/>
      <c r="AN58" s="60"/>
      <c r="AO58" s="63"/>
      <c r="AP58" s="62">
        <v>154832343.5</v>
      </c>
      <c r="AQ58" s="60"/>
      <c r="AR58" s="60"/>
      <c r="AS58" s="60"/>
      <c r="AT58" s="60"/>
      <c r="AU58" s="60"/>
      <c r="AV58" s="64"/>
      <c r="AW58" s="55">
        <f t="shared" si="0"/>
        <v>3267000000</v>
      </c>
      <c r="AX58" s="55">
        <f t="shared" si="1"/>
        <v>140437500</v>
      </c>
      <c r="AY58" s="55">
        <f t="shared" si="2"/>
        <v>147459375</v>
      </c>
      <c r="AZ58" s="55">
        <f t="shared" si="3"/>
        <v>154832343.5</v>
      </c>
      <c r="BA58" s="55">
        <f t="shared" si="4"/>
        <v>3709729218.5</v>
      </c>
    </row>
    <row r="59" spans="1:133" s="22" customFormat="1" ht="78.75" x14ac:dyDescent="0.25">
      <c r="A59" s="148" t="s">
        <v>28</v>
      </c>
      <c r="B59" s="56" t="s">
        <v>91</v>
      </c>
      <c r="C59" s="56" t="s">
        <v>136</v>
      </c>
      <c r="D59" s="56" t="s">
        <v>137</v>
      </c>
      <c r="E59" s="57">
        <v>0.69</v>
      </c>
      <c r="F59" s="57">
        <v>0.85</v>
      </c>
      <c r="G59" s="66" t="s">
        <v>141</v>
      </c>
      <c r="H59" s="66" t="s">
        <v>1199</v>
      </c>
      <c r="I59" s="108" t="s">
        <v>144</v>
      </c>
      <c r="J59" s="108" t="s">
        <v>1682</v>
      </c>
      <c r="K59" s="178">
        <v>100</v>
      </c>
      <c r="L59" s="179">
        <v>100</v>
      </c>
      <c r="M59" s="108" t="s">
        <v>96</v>
      </c>
      <c r="N59" s="108" t="s">
        <v>143</v>
      </c>
      <c r="O59" s="54" t="s">
        <v>98</v>
      </c>
      <c r="P59" s="67" t="s">
        <v>42</v>
      </c>
      <c r="Q59" s="54" t="s">
        <v>1679</v>
      </c>
      <c r="R59" s="182">
        <v>100</v>
      </c>
      <c r="S59" s="178">
        <v>100</v>
      </c>
      <c r="T59" s="178">
        <v>100</v>
      </c>
      <c r="U59" s="183">
        <v>100</v>
      </c>
      <c r="V59" s="59">
        <v>500000</v>
      </c>
      <c r="W59" s="60"/>
      <c r="X59" s="60"/>
      <c r="Y59" s="60"/>
      <c r="Z59" s="60"/>
      <c r="AA59" s="61"/>
      <c r="AB59" s="62">
        <v>140437500</v>
      </c>
      <c r="AC59" s="60"/>
      <c r="AD59" s="60"/>
      <c r="AE59" s="60"/>
      <c r="AF59" s="60"/>
      <c r="AG59" s="60"/>
      <c r="AH59" s="63"/>
      <c r="AI59" s="62">
        <v>147459375</v>
      </c>
      <c r="AJ59" s="60">
        <v>0</v>
      </c>
      <c r="AK59" s="60">
        <v>0</v>
      </c>
      <c r="AL59" s="60"/>
      <c r="AM59" s="60"/>
      <c r="AN59" s="60"/>
      <c r="AO59" s="63"/>
      <c r="AP59" s="62">
        <v>154832343.5</v>
      </c>
      <c r="AQ59" s="60"/>
      <c r="AR59" s="60"/>
      <c r="AS59" s="60"/>
      <c r="AT59" s="60"/>
      <c r="AU59" s="60"/>
      <c r="AV59" s="64"/>
      <c r="AW59" s="55">
        <f t="shared" si="0"/>
        <v>500000</v>
      </c>
      <c r="AX59" s="55">
        <f t="shared" si="1"/>
        <v>140437500</v>
      </c>
      <c r="AY59" s="55">
        <f t="shared" si="2"/>
        <v>147459375</v>
      </c>
      <c r="AZ59" s="55">
        <f t="shared" si="3"/>
        <v>154832343.5</v>
      </c>
      <c r="BA59" s="55">
        <f t="shared" si="4"/>
        <v>443229218.5</v>
      </c>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row>
    <row r="60" spans="1:133" s="7" customFormat="1" ht="110.25" x14ac:dyDescent="0.25">
      <c r="A60" s="148" t="s">
        <v>28</v>
      </c>
      <c r="B60" s="56" t="s">
        <v>91</v>
      </c>
      <c r="C60" s="56" t="s">
        <v>136</v>
      </c>
      <c r="D60" s="56" t="s">
        <v>137</v>
      </c>
      <c r="E60" s="57">
        <v>0.69</v>
      </c>
      <c r="F60" s="57">
        <v>0.85</v>
      </c>
      <c r="G60" s="66" t="s">
        <v>145</v>
      </c>
      <c r="H60" s="66" t="s">
        <v>1200</v>
      </c>
      <c r="I60" s="108" t="s">
        <v>146</v>
      </c>
      <c r="J60" s="108" t="s">
        <v>1682</v>
      </c>
      <c r="K60" s="178">
        <v>100</v>
      </c>
      <c r="L60" s="179">
        <v>100</v>
      </c>
      <c r="M60" s="108" t="s">
        <v>96</v>
      </c>
      <c r="N60" s="108" t="s">
        <v>97</v>
      </c>
      <c r="O60" s="54" t="s">
        <v>98</v>
      </c>
      <c r="P60" s="67" t="s">
        <v>42</v>
      </c>
      <c r="Q60" s="54" t="s">
        <v>1679</v>
      </c>
      <c r="R60" s="182">
        <v>100</v>
      </c>
      <c r="S60" s="178">
        <v>100</v>
      </c>
      <c r="T60" s="178">
        <v>100</v>
      </c>
      <c r="U60" s="183">
        <v>100</v>
      </c>
      <c r="V60" s="59">
        <v>5118793333</v>
      </c>
      <c r="W60" s="60"/>
      <c r="X60" s="60"/>
      <c r="Y60" s="60"/>
      <c r="Z60" s="60"/>
      <c r="AA60" s="61"/>
      <c r="AB60" s="62">
        <v>124733000</v>
      </c>
      <c r="AC60" s="60"/>
      <c r="AD60" s="60"/>
      <c r="AE60" s="60"/>
      <c r="AF60" s="60"/>
      <c r="AG60" s="60"/>
      <c r="AH60" s="63"/>
      <c r="AI60" s="62">
        <v>130969650</v>
      </c>
      <c r="AJ60" s="60"/>
      <c r="AK60" s="60"/>
      <c r="AL60" s="60"/>
      <c r="AM60" s="60"/>
      <c r="AN60" s="60"/>
      <c r="AO60" s="63"/>
      <c r="AP60" s="62">
        <v>137518132</v>
      </c>
      <c r="AQ60" s="60"/>
      <c r="AR60" s="60"/>
      <c r="AS60" s="60"/>
      <c r="AT60" s="60"/>
      <c r="AU60" s="60"/>
      <c r="AV60" s="64"/>
      <c r="AW60" s="55">
        <f t="shared" si="0"/>
        <v>5118793333</v>
      </c>
      <c r="AX60" s="55">
        <f t="shared" si="1"/>
        <v>124733000</v>
      </c>
      <c r="AY60" s="55">
        <f t="shared" si="2"/>
        <v>130969650</v>
      </c>
      <c r="AZ60" s="55">
        <f t="shared" si="3"/>
        <v>137518132</v>
      </c>
      <c r="BA60" s="55">
        <f t="shared" si="4"/>
        <v>5512014115</v>
      </c>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row>
    <row r="61" spans="1:133" s="7" customFormat="1" ht="110.25" x14ac:dyDescent="0.25">
      <c r="A61" s="148" t="s">
        <v>28</v>
      </c>
      <c r="B61" s="56" t="s">
        <v>91</v>
      </c>
      <c r="C61" s="56" t="s">
        <v>136</v>
      </c>
      <c r="D61" s="56" t="s">
        <v>137</v>
      </c>
      <c r="E61" s="57">
        <v>0.69</v>
      </c>
      <c r="F61" s="57">
        <v>0.85</v>
      </c>
      <c r="G61" s="66" t="s">
        <v>145</v>
      </c>
      <c r="H61" s="66" t="s">
        <v>1201</v>
      </c>
      <c r="I61" s="94" t="s">
        <v>147</v>
      </c>
      <c r="J61" s="94" t="s">
        <v>1682</v>
      </c>
      <c r="K61" s="178">
        <v>85</v>
      </c>
      <c r="L61" s="179">
        <v>90</v>
      </c>
      <c r="M61" s="108" t="s">
        <v>96</v>
      </c>
      <c r="N61" s="108" t="s">
        <v>97</v>
      </c>
      <c r="O61" s="54" t="s">
        <v>98</v>
      </c>
      <c r="P61" s="88" t="s">
        <v>1677</v>
      </c>
      <c r="Q61" s="168" t="s">
        <v>1679</v>
      </c>
      <c r="R61" s="182">
        <v>85</v>
      </c>
      <c r="S61" s="178">
        <v>86</v>
      </c>
      <c r="T61" s="178">
        <v>90</v>
      </c>
      <c r="U61" s="183">
        <v>90</v>
      </c>
      <c r="V61" s="59">
        <v>5118793333</v>
      </c>
      <c r="W61" s="60"/>
      <c r="X61" s="60"/>
      <c r="Y61" s="60"/>
      <c r="Z61" s="60"/>
      <c r="AA61" s="61"/>
      <c r="AB61" s="62">
        <v>124733000</v>
      </c>
      <c r="AC61" s="60"/>
      <c r="AD61" s="60"/>
      <c r="AE61" s="60"/>
      <c r="AF61" s="60"/>
      <c r="AG61" s="60"/>
      <c r="AH61" s="63"/>
      <c r="AI61" s="62">
        <v>130969650</v>
      </c>
      <c r="AJ61" s="60"/>
      <c r="AK61" s="60"/>
      <c r="AL61" s="60"/>
      <c r="AM61" s="60"/>
      <c r="AN61" s="60"/>
      <c r="AO61" s="63"/>
      <c r="AP61" s="62">
        <v>137518132</v>
      </c>
      <c r="AQ61" s="60"/>
      <c r="AR61" s="60"/>
      <c r="AS61" s="60"/>
      <c r="AT61" s="60"/>
      <c r="AU61" s="60"/>
      <c r="AV61" s="64"/>
      <c r="AW61" s="55">
        <f t="shared" si="0"/>
        <v>5118793333</v>
      </c>
      <c r="AX61" s="55">
        <f t="shared" si="1"/>
        <v>124733000</v>
      </c>
      <c r="AY61" s="55">
        <f t="shared" si="2"/>
        <v>130969650</v>
      </c>
      <c r="AZ61" s="55">
        <f t="shared" si="3"/>
        <v>137518132</v>
      </c>
      <c r="BA61" s="55">
        <f t="shared" si="4"/>
        <v>5512014115</v>
      </c>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row>
    <row r="62" spans="1:133" s="22" customFormat="1" ht="110.25" x14ac:dyDescent="0.25">
      <c r="A62" s="148" t="s">
        <v>28</v>
      </c>
      <c r="B62" s="56" t="s">
        <v>91</v>
      </c>
      <c r="C62" s="56" t="s">
        <v>136</v>
      </c>
      <c r="D62" s="56" t="s">
        <v>137</v>
      </c>
      <c r="E62" s="57">
        <v>0.69</v>
      </c>
      <c r="F62" s="57">
        <v>0.85</v>
      </c>
      <c r="G62" s="66" t="s">
        <v>145</v>
      </c>
      <c r="H62" s="66" t="s">
        <v>1202</v>
      </c>
      <c r="I62" s="108" t="s">
        <v>148</v>
      </c>
      <c r="J62" s="108" t="s">
        <v>1682</v>
      </c>
      <c r="K62" s="178">
        <v>76</v>
      </c>
      <c r="L62" s="179">
        <v>90</v>
      </c>
      <c r="M62" s="100" t="s">
        <v>96</v>
      </c>
      <c r="N62" s="100" t="s">
        <v>97</v>
      </c>
      <c r="O62" s="54" t="s">
        <v>98</v>
      </c>
      <c r="P62" s="72" t="s">
        <v>1677</v>
      </c>
      <c r="Q62" s="167" t="s">
        <v>1679</v>
      </c>
      <c r="R62" s="182">
        <v>76</v>
      </c>
      <c r="S62" s="178">
        <v>82</v>
      </c>
      <c r="T62" s="178">
        <v>85</v>
      </c>
      <c r="U62" s="183">
        <v>90</v>
      </c>
      <c r="V62" s="59">
        <v>5118793333</v>
      </c>
      <c r="W62" s="60"/>
      <c r="X62" s="60"/>
      <c r="Y62" s="60"/>
      <c r="Z62" s="60"/>
      <c r="AA62" s="61"/>
      <c r="AB62" s="62">
        <v>124733000</v>
      </c>
      <c r="AC62" s="60"/>
      <c r="AD62" s="60"/>
      <c r="AE62" s="60"/>
      <c r="AF62" s="60"/>
      <c r="AG62" s="60"/>
      <c r="AH62" s="63"/>
      <c r="AI62" s="62">
        <v>130969650</v>
      </c>
      <c r="AJ62" s="60"/>
      <c r="AK62" s="60"/>
      <c r="AL62" s="60"/>
      <c r="AM62" s="60"/>
      <c r="AN62" s="60"/>
      <c r="AO62" s="63"/>
      <c r="AP62" s="62">
        <v>137518132</v>
      </c>
      <c r="AQ62" s="60"/>
      <c r="AR62" s="60"/>
      <c r="AS62" s="60"/>
      <c r="AT62" s="60"/>
      <c r="AU62" s="60"/>
      <c r="AV62" s="64"/>
      <c r="AW62" s="55">
        <f t="shared" si="0"/>
        <v>5118793333</v>
      </c>
      <c r="AX62" s="55">
        <f t="shared" si="1"/>
        <v>124733000</v>
      </c>
      <c r="AY62" s="55">
        <f t="shared" si="2"/>
        <v>130969650</v>
      </c>
      <c r="AZ62" s="55">
        <f t="shared" si="3"/>
        <v>137518132</v>
      </c>
      <c r="BA62" s="55">
        <f t="shared" si="4"/>
        <v>5512014115</v>
      </c>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row>
    <row r="63" spans="1:133" s="7" customFormat="1" ht="110.25" x14ac:dyDescent="0.25">
      <c r="A63" s="148" t="s">
        <v>28</v>
      </c>
      <c r="B63" s="56" t="s">
        <v>91</v>
      </c>
      <c r="C63" s="56" t="s">
        <v>136</v>
      </c>
      <c r="D63" s="56" t="s">
        <v>137</v>
      </c>
      <c r="E63" s="57">
        <v>0.69</v>
      </c>
      <c r="F63" s="57">
        <v>0.85</v>
      </c>
      <c r="G63" s="66" t="s">
        <v>149</v>
      </c>
      <c r="H63" s="66" t="s">
        <v>1203</v>
      </c>
      <c r="I63" s="94" t="s">
        <v>150</v>
      </c>
      <c r="J63" s="94" t="s">
        <v>1682</v>
      </c>
      <c r="K63" s="178">
        <v>75</v>
      </c>
      <c r="L63" s="179">
        <v>90</v>
      </c>
      <c r="M63" s="108" t="s">
        <v>96</v>
      </c>
      <c r="N63" s="108" t="s">
        <v>97</v>
      </c>
      <c r="O63" s="54" t="s">
        <v>98</v>
      </c>
      <c r="P63" s="88" t="s">
        <v>1677</v>
      </c>
      <c r="Q63" s="168" t="s">
        <v>1679</v>
      </c>
      <c r="R63" s="182">
        <v>75</v>
      </c>
      <c r="S63" s="178">
        <v>80</v>
      </c>
      <c r="T63" s="178">
        <v>85</v>
      </c>
      <c r="U63" s="183">
        <v>90</v>
      </c>
      <c r="V63" s="59">
        <v>3400000000</v>
      </c>
      <c r="W63" s="60"/>
      <c r="X63" s="60"/>
      <c r="Y63" s="60"/>
      <c r="Z63" s="60"/>
      <c r="AA63" s="61"/>
      <c r="AB63" s="62">
        <v>420000000</v>
      </c>
      <c r="AC63" s="60"/>
      <c r="AD63" s="60"/>
      <c r="AE63" s="60"/>
      <c r="AF63" s="60"/>
      <c r="AG63" s="60"/>
      <c r="AH63" s="63"/>
      <c r="AI63" s="62">
        <v>441000000</v>
      </c>
      <c r="AJ63" s="60"/>
      <c r="AK63" s="60"/>
      <c r="AL63" s="60"/>
      <c r="AM63" s="60"/>
      <c r="AN63" s="60"/>
      <c r="AO63" s="63"/>
      <c r="AP63" s="62">
        <v>463050000</v>
      </c>
      <c r="AQ63" s="60"/>
      <c r="AR63" s="60"/>
      <c r="AS63" s="60"/>
      <c r="AT63" s="60"/>
      <c r="AU63" s="60"/>
      <c r="AV63" s="64"/>
      <c r="AW63" s="55">
        <f t="shared" si="0"/>
        <v>3400000000</v>
      </c>
      <c r="AX63" s="55">
        <f t="shared" si="1"/>
        <v>420000000</v>
      </c>
      <c r="AY63" s="55">
        <f t="shared" si="2"/>
        <v>441000000</v>
      </c>
      <c r="AZ63" s="55">
        <f t="shared" si="3"/>
        <v>463050000</v>
      </c>
      <c r="BA63" s="55">
        <f t="shared" si="4"/>
        <v>4724050000</v>
      </c>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row>
    <row r="64" spans="1:133" s="7" customFormat="1" ht="78.75" x14ac:dyDescent="0.25">
      <c r="A64" s="148" t="s">
        <v>28</v>
      </c>
      <c r="B64" s="56" t="s">
        <v>91</v>
      </c>
      <c r="C64" s="56" t="s">
        <v>136</v>
      </c>
      <c r="D64" s="56" t="s">
        <v>137</v>
      </c>
      <c r="E64" s="57">
        <v>0.69</v>
      </c>
      <c r="F64" s="57">
        <v>0.85</v>
      </c>
      <c r="G64" s="66" t="s">
        <v>149</v>
      </c>
      <c r="H64" s="66" t="s">
        <v>1204</v>
      </c>
      <c r="I64" s="84" t="s">
        <v>151</v>
      </c>
      <c r="J64" s="84" t="s">
        <v>1682</v>
      </c>
      <c r="K64" s="178">
        <v>60</v>
      </c>
      <c r="L64" s="179">
        <v>100</v>
      </c>
      <c r="M64" s="108" t="s">
        <v>96</v>
      </c>
      <c r="N64" s="108" t="s">
        <v>97</v>
      </c>
      <c r="O64" s="54" t="s">
        <v>98</v>
      </c>
      <c r="P64" s="78" t="s">
        <v>1677</v>
      </c>
      <c r="Q64" s="170" t="s">
        <v>1679</v>
      </c>
      <c r="R64" s="182">
        <v>60</v>
      </c>
      <c r="S64" s="178">
        <v>70</v>
      </c>
      <c r="T64" s="178">
        <v>90</v>
      </c>
      <c r="U64" s="183">
        <v>100</v>
      </c>
      <c r="V64" s="59">
        <v>2100000000</v>
      </c>
      <c r="W64" s="60"/>
      <c r="X64" s="60"/>
      <c r="Y64" s="60"/>
      <c r="Z64" s="60"/>
      <c r="AA64" s="61"/>
      <c r="AB64" s="62">
        <v>105000000</v>
      </c>
      <c r="AC64" s="60"/>
      <c r="AD64" s="60"/>
      <c r="AE64" s="60"/>
      <c r="AF64" s="60"/>
      <c r="AG64" s="60"/>
      <c r="AH64" s="63"/>
      <c r="AI64" s="62">
        <v>110250000</v>
      </c>
      <c r="AJ64" s="60"/>
      <c r="AK64" s="60"/>
      <c r="AL64" s="60"/>
      <c r="AM64" s="60"/>
      <c r="AN64" s="60"/>
      <c r="AO64" s="63"/>
      <c r="AP64" s="62">
        <v>115762500</v>
      </c>
      <c r="AQ64" s="60"/>
      <c r="AR64" s="60"/>
      <c r="AS64" s="60"/>
      <c r="AT64" s="60"/>
      <c r="AU64" s="60"/>
      <c r="AV64" s="64"/>
      <c r="AW64" s="55">
        <f t="shared" si="0"/>
        <v>2100000000</v>
      </c>
      <c r="AX64" s="55">
        <f t="shared" si="1"/>
        <v>105000000</v>
      </c>
      <c r="AY64" s="55">
        <f t="shared" si="2"/>
        <v>110250000</v>
      </c>
      <c r="AZ64" s="55">
        <f t="shared" si="3"/>
        <v>115762500</v>
      </c>
      <c r="BA64" s="55">
        <f t="shared" si="4"/>
        <v>2431012500</v>
      </c>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row>
    <row r="65" spans="1:133" s="22" customFormat="1" ht="78.75" x14ac:dyDescent="0.25">
      <c r="A65" s="148" t="s">
        <v>28</v>
      </c>
      <c r="B65" s="56" t="s">
        <v>91</v>
      </c>
      <c r="C65" s="56" t="s">
        <v>136</v>
      </c>
      <c r="D65" s="56" t="s">
        <v>137</v>
      </c>
      <c r="E65" s="57">
        <v>0.69</v>
      </c>
      <c r="F65" s="57">
        <v>0.85</v>
      </c>
      <c r="G65" s="66" t="s">
        <v>152</v>
      </c>
      <c r="H65" s="66" t="s">
        <v>1205</v>
      </c>
      <c r="I65" s="108" t="s">
        <v>153</v>
      </c>
      <c r="J65" s="108" t="s">
        <v>1683</v>
      </c>
      <c r="K65" s="178">
        <v>29</v>
      </c>
      <c r="L65" s="178">
        <v>35</v>
      </c>
      <c r="M65" s="108" t="s">
        <v>96</v>
      </c>
      <c r="N65" s="108" t="s">
        <v>97</v>
      </c>
      <c r="O65" s="54" t="s">
        <v>98</v>
      </c>
      <c r="P65" s="72" t="s">
        <v>1677</v>
      </c>
      <c r="Q65" s="167" t="s">
        <v>1680</v>
      </c>
      <c r="R65" s="182">
        <v>0</v>
      </c>
      <c r="S65" s="178">
        <v>1</v>
      </c>
      <c r="T65" s="178">
        <v>3</v>
      </c>
      <c r="U65" s="183">
        <v>2</v>
      </c>
      <c r="V65" s="59"/>
      <c r="W65" s="60"/>
      <c r="X65" s="60"/>
      <c r="Y65" s="60"/>
      <c r="Z65" s="60"/>
      <c r="AA65" s="61"/>
      <c r="AB65" s="62">
        <v>64921400000</v>
      </c>
      <c r="AC65" s="60"/>
      <c r="AD65" s="60"/>
      <c r="AE65" s="60"/>
      <c r="AF65" s="60"/>
      <c r="AG65" s="60"/>
      <c r="AH65" s="63"/>
      <c r="AI65" s="62">
        <v>50667470000</v>
      </c>
      <c r="AJ65" s="60"/>
      <c r="AK65" s="60"/>
      <c r="AL65" s="60"/>
      <c r="AM65" s="60"/>
      <c r="AN65" s="60"/>
      <c r="AO65" s="63"/>
      <c r="AP65" s="62">
        <v>62600843500</v>
      </c>
      <c r="AQ65" s="60"/>
      <c r="AR65" s="60"/>
      <c r="AS65" s="60"/>
      <c r="AT65" s="60"/>
      <c r="AU65" s="60"/>
      <c r="AV65" s="64"/>
      <c r="AW65" s="55">
        <f t="shared" si="0"/>
        <v>0</v>
      </c>
      <c r="AX65" s="55">
        <f t="shared" si="1"/>
        <v>64921400000</v>
      </c>
      <c r="AY65" s="55">
        <f t="shared" si="2"/>
        <v>50667470000</v>
      </c>
      <c r="AZ65" s="55">
        <f t="shared" si="3"/>
        <v>62600843500</v>
      </c>
      <c r="BA65" s="55">
        <f t="shared" si="4"/>
        <v>178189713500</v>
      </c>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row>
    <row r="66" spans="1:133" s="24" customFormat="1" ht="78.75" x14ac:dyDescent="0.25">
      <c r="A66" s="148" t="s">
        <v>28</v>
      </c>
      <c r="B66" s="56" t="s">
        <v>91</v>
      </c>
      <c r="C66" s="56" t="s">
        <v>136</v>
      </c>
      <c r="D66" s="56" t="s">
        <v>137</v>
      </c>
      <c r="E66" s="57">
        <v>0.69</v>
      </c>
      <c r="F66" s="57">
        <v>0.85</v>
      </c>
      <c r="G66" s="66" t="s">
        <v>152</v>
      </c>
      <c r="H66" s="66" t="s">
        <v>1206</v>
      </c>
      <c r="I66" s="108" t="s">
        <v>154</v>
      </c>
      <c r="J66" s="108" t="s">
        <v>1682</v>
      </c>
      <c r="K66" s="178">
        <v>0</v>
      </c>
      <c r="L66" s="179">
        <v>100</v>
      </c>
      <c r="M66" s="108" t="s">
        <v>96</v>
      </c>
      <c r="N66" s="108" t="s">
        <v>97</v>
      </c>
      <c r="O66" s="54" t="s">
        <v>98</v>
      </c>
      <c r="P66" s="72" t="s">
        <v>39</v>
      </c>
      <c r="Q66" s="167" t="s">
        <v>1679</v>
      </c>
      <c r="R66" s="182">
        <v>0</v>
      </c>
      <c r="S66" s="178">
        <v>40</v>
      </c>
      <c r="T66" s="178">
        <v>70</v>
      </c>
      <c r="U66" s="183">
        <v>100</v>
      </c>
      <c r="V66" s="59"/>
      <c r="W66" s="60"/>
      <c r="X66" s="60"/>
      <c r="Y66" s="60"/>
      <c r="Z66" s="60"/>
      <c r="AA66" s="61"/>
      <c r="AB66" s="62">
        <v>4195644881</v>
      </c>
      <c r="AC66" s="60"/>
      <c r="AD66" s="60"/>
      <c r="AE66" s="60"/>
      <c r="AF66" s="60"/>
      <c r="AG66" s="60"/>
      <c r="AH66" s="63"/>
      <c r="AI66" s="62">
        <v>4405427125</v>
      </c>
      <c r="AJ66" s="60"/>
      <c r="AK66" s="60"/>
      <c r="AL66" s="60"/>
      <c r="AM66" s="60"/>
      <c r="AN66" s="60"/>
      <c r="AO66" s="63"/>
      <c r="AP66" s="62">
        <v>3625698481</v>
      </c>
      <c r="AQ66" s="60"/>
      <c r="AR66" s="60"/>
      <c r="AS66" s="60"/>
      <c r="AT66" s="60"/>
      <c r="AU66" s="60"/>
      <c r="AV66" s="64"/>
      <c r="AW66" s="55">
        <f t="shared" si="0"/>
        <v>0</v>
      </c>
      <c r="AX66" s="55">
        <f t="shared" si="1"/>
        <v>4195644881</v>
      </c>
      <c r="AY66" s="55">
        <f t="shared" si="2"/>
        <v>4405427125</v>
      </c>
      <c r="AZ66" s="55">
        <f t="shared" si="3"/>
        <v>3625698481</v>
      </c>
      <c r="BA66" s="55">
        <f t="shared" si="4"/>
        <v>12226770487</v>
      </c>
    </row>
    <row r="67" spans="1:133" s="7" customFormat="1" ht="94.5" x14ac:dyDescent="0.25">
      <c r="A67" s="148" t="s">
        <v>28</v>
      </c>
      <c r="B67" s="56" t="s">
        <v>91</v>
      </c>
      <c r="C67" s="56" t="s">
        <v>136</v>
      </c>
      <c r="D67" s="56" t="s">
        <v>137</v>
      </c>
      <c r="E67" s="57">
        <v>0.69</v>
      </c>
      <c r="F67" s="57">
        <v>0.85</v>
      </c>
      <c r="G67" s="68" t="s">
        <v>155</v>
      </c>
      <c r="H67" s="68" t="s">
        <v>1207</v>
      </c>
      <c r="I67" s="84" t="s">
        <v>156</v>
      </c>
      <c r="J67" s="84" t="s">
        <v>1682</v>
      </c>
      <c r="K67" s="178" t="s">
        <v>90</v>
      </c>
      <c r="L67" s="179">
        <v>100</v>
      </c>
      <c r="M67" s="108" t="s">
        <v>96</v>
      </c>
      <c r="N67" s="108" t="s">
        <v>97</v>
      </c>
      <c r="O67" s="54" t="s">
        <v>98</v>
      </c>
      <c r="P67" s="78" t="s">
        <v>39</v>
      </c>
      <c r="Q67" s="170" t="s">
        <v>1679</v>
      </c>
      <c r="R67" s="182">
        <v>10</v>
      </c>
      <c r="S67" s="178">
        <v>30</v>
      </c>
      <c r="T67" s="178">
        <v>70</v>
      </c>
      <c r="U67" s="183">
        <v>100</v>
      </c>
      <c r="V67" s="59">
        <v>5360000000</v>
      </c>
      <c r="W67" s="60"/>
      <c r="X67" s="60"/>
      <c r="Y67" s="60"/>
      <c r="Z67" s="60"/>
      <c r="AA67" s="61"/>
      <c r="AB67" s="62">
        <v>380250000</v>
      </c>
      <c r="AC67" s="60"/>
      <c r="AD67" s="60"/>
      <c r="AE67" s="60"/>
      <c r="AF67" s="60"/>
      <c r="AG67" s="60"/>
      <c r="AH67" s="63"/>
      <c r="AI67" s="62">
        <v>201206250</v>
      </c>
      <c r="AJ67" s="60"/>
      <c r="AK67" s="60"/>
      <c r="AL67" s="60"/>
      <c r="AM67" s="60"/>
      <c r="AN67" s="60"/>
      <c r="AO67" s="63"/>
      <c r="AP67" s="62">
        <v>211266562.5</v>
      </c>
      <c r="AQ67" s="60"/>
      <c r="AR67" s="60"/>
      <c r="AS67" s="60"/>
      <c r="AT67" s="60"/>
      <c r="AU67" s="60"/>
      <c r="AV67" s="64"/>
      <c r="AW67" s="55">
        <f t="shared" si="0"/>
        <v>5360000000</v>
      </c>
      <c r="AX67" s="55">
        <f t="shared" si="1"/>
        <v>380250000</v>
      </c>
      <c r="AY67" s="55">
        <f t="shared" si="2"/>
        <v>201206250</v>
      </c>
      <c r="AZ67" s="55">
        <f t="shared" si="3"/>
        <v>211266562.5</v>
      </c>
      <c r="BA67" s="55">
        <f t="shared" si="4"/>
        <v>6152722812.5</v>
      </c>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row>
    <row r="68" spans="1:133" s="7" customFormat="1" ht="94.5" x14ac:dyDescent="0.25">
      <c r="A68" s="148" t="s">
        <v>28</v>
      </c>
      <c r="B68" s="56" t="s">
        <v>91</v>
      </c>
      <c r="C68" s="56" t="s">
        <v>136</v>
      </c>
      <c r="D68" s="56" t="s">
        <v>137</v>
      </c>
      <c r="E68" s="57">
        <v>0.69</v>
      </c>
      <c r="F68" s="57">
        <v>0.85</v>
      </c>
      <c r="G68" s="68" t="s">
        <v>155</v>
      </c>
      <c r="H68" s="68" t="s">
        <v>1208</v>
      </c>
      <c r="I68" s="84" t="s">
        <v>157</v>
      </c>
      <c r="J68" s="84" t="s">
        <v>1682</v>
      </c>
      <c r="K68" s="178">
        <v>78</v>
      </c>
      <c r="L68" s="179">
        <v>100</v>
      </c>
      <c r="M68" s="108" t="s">
        <v>96</v>
      </c>
      <c r="N68" s="108" t="s">
        <v>97</v>
      </c>
      <c r="O68" s="54" t="s">
        <v>98</v>
      </c>
      <c r="P68" s="78" t="s">
        <v>1677</v>
      </c>
      <c r="Q68" s="170" t="s">
        <v>1679</v>
      </c>
      <c r="R68" s="182">
        <v>80</v>
      </c>
      <c r="S68" s="178">
        <v>85</v>
      </c>
      <c r="T68" s="178">
        <v>90</v>
      </c>
      <c r="U68" s="183">
        <v>100</v>
      </c>
      <c r="V68" s="59">
        <v>5000000</v>
      </c>
      <c r="W68" s="60"/>
      <c r="X68" s="60"/>
      <c r="Y68" s="60"/>
      <c r="Z68" s="60"/>
      <c r="AA68" s="61"/>
      <c r="AB68" s="62">
        <v>3000000</v>
      </c>
      <c r="AC68" s="60"/>
      <c r="AD68" s="60"/>
      <c r="AE68" s="60"/>
      <c r="AF68" s="60"/>
      <c r="AG68" s="60"/>
      <c r="AH68" s="63"/>
      <c r="AI68" s="62">
        <v>201206250</v>
      </c>
      <c r="AJ68" s="60"/>
      <c r="AK68" s="60"/>
      <c r="AL68" s="60"/>
      <c r="AM68" s="60"/>
      <c r="AN68" s="60"/>
      <c r="AO68" s="63"/>
      <c r="AP68" s="62">
        <v>211266562.5</v>
      </c>
      <c r="AQ68" s="60"/>
      <c r="AR68" s="60"/>
      <c r="AS68" s="60"/>
      <c r="AT68" s="60"/>
      <c r="AU68" s="60"/>
      <c r="AV68" s="64"/>
      <c r="AW68" s="55">
        <f t="shared" ref="AW68:AW131" si="6">SUM(V68:AA68)</f>
        <v>5000000</v>
      </c>
      <c r="AX68" s="55">
        <f t="shared" ref="AX68:AX131" si="7">SUM(AB68:AH68)</f>
        <v>3000000</v>
      </c>
      <c r="AY68" s="55">
        <f t="shared" ref="AY68:AY131" si="8">SUM(AI68:AO68)</f>
        <v>201206250</v>
      </c>
      <c r="AZ68" s="55">
        <f t="shared" ref="AZ68:AZ131" si="9">SUM(AP68:AV68)</f>
        <v>211266562.5</v>
      </c>
      <c r="BA68" s="55">
        <f t="shared" ref="BA68:BA131" si="10">SUM(AW68:AZ68)</f>
        <v>420472812.5</v>
      </c>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row>
    <row r="69" spans="1:133" s="11" customFormat="1" ht="110.25" x14ac:dyDescent="0.25">
      <c r="A69" s="148" t="s">
        <v>28</v>
      </c>
      <c r="B69" s="110" t="s">
        <v>158</v>
      </c>
      <c r="C69" s="56" t="s">
        <v>159</v>
      </c>
      <c r="D69" s="110" t="s">
        <v>160</v>
      </c>
      <c r="E69" s="144">
        <v>25.3</v>
      </c>
      <c r="F69" s="144">
        <v>23</v>
      </c>
      <c r="G69" s="66" t="s">
        <v>161</v>
      </c>
      <c r="H69" s="66" t="s">
        <v>1209</v>
      </c>
      <c r="I69" s="108" t="s">
        <v>162</v>
      </c>
      <c r="J69" s="108" t="s">
        <v>1683</v>
      </c>
      <c r="K69" s="178">
        <v>0</v>
      </c>
      <c r="L69" s="178">
        <v>2</v>
      </c>
      <c r="M69" s="108" t="s">
        <v>163</v>
      </c>
      <c r="N69" s="108" t="s">
        <v>164</v>
      </c>
      <c r="O69" s="54" t="s">
        <v>165</v>
      </c>
      <c r="P69" s="67" t="s">
        <v>39</v>
      </c>
      <c r="Q69" s="166" t="s">
        <v>1680</v>
      </c>
      <c r="R69" s="182">
        <v>0</v>
      </c>
      <c r="S69" s="178">
        <v>1</v>
      </c>
      <c r="T69" s="178">
        <v>1</v>
      </c>
      <c r="U69" s="183">
        <v>0</v>
      </c>
      <c r="V69" s="59"/>
      <c r="W69" s="60"/>
      <c r="X69" s="60"/>
      <c r="Y69" s="60"/>
      <c r="Z69" s="60"/>
      <c r="AA69" s="61"/>
      <c r="AB69" s="62">
        <v>100000000</v>
      </c>
      <c r="AC69" s="60"/>
      <c r="AD69" s="60"/>
      <c r="AE69" s="60"/>
      <c r="AF69" s="60"/>
      <c r="AG69" s="60"/>
      <c r="AH69" s="63"/>
      <c r="AI69" s="62">
        <v>100000000</v>
      </c>
      <c r="AJ69" s="60"/>
      <c r="AK69" s="60"/>
      <c r="AL69" s="60"/>
      <c r="AM69" s="60"/>
      <c r="AN69" s="60"/>
      <c r="AO69" s="63"/>
      <c r="AP69" s="62"/>
      <c r="AQ69" s="60"/>
      <c r="AR69" s="60"/>
      <c r="AS69" s="60"/>
      <c r="AT69" s="60"/>
      <c r="AU69" s="60"/>
      <c r="AV69" s="64"/>
      <c r="AW69" s="55">
        <f t="shared" si="6"/>
        <v>0</v>
      </c>
      <c r="AX69" s="55">
        <f t="shared" si="7"/>
        <v>100000000</v>
      </c>
      <c r="AY69" s="55">
        <f t="shared" si="8"/>
        <v>100000000</v>
      </c>
      <c r="AZ69" s="55">
        <f t="shared" si="9"/>
        <v>0</v>
      </c>
      <c r="BA69" s="55">
        <f t="shared" si="10"/>
        <v>200000000</v>
      </c>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row>
    <row r="70" spans="1:133" s="3" customFormat="1" ht="110.25" x14ac:dyDescent="0.25">
      <c r="A70" s="148" t="s">
        <v>28</v>
      </c>
      <c r="B70" s="110" t="s">
        <v>158</v>
      </c>
      <c r="C70" s="56" t="s">
        <v>159</v>
      </c>
      <c r="D70" s="110" t="s">
        <v>160</v>
      </c>
      <c r="E70" s="144">
        <v>25.3</v>
      </c>
      <c r="F70" s="144">
        <v>23</v>
      </c>
      <c r="G70" s="66" t="s">
        <v>161</v>
      </c>
      <c r="H70" s="66" t="s">
        <v>1210</v>
      </c>
      <c r="I70" s="108" t="s">
        <v>166</v>
      </c>
      <c r="J70" s="108" t="s">
        <v>1683</v>
      </c>
      <c r="K70" s="178">
        <v>7406</v>
      </c>
      <c r="L70" s="178">
        <v>8000</v>
      </c>
      <c r="M70" s="108" t="s">
        <v>163</v>
      </c>
      <c r="N70" s="108" t="s">
        <v>164</v>
      </c>
      <c r="O70" s="54" t="s">
        <v>165</v>
      </c>
      <c r="P70" s="67" t="s">
        <v>39</v>
      </c>
      <c r="Q70" s="166" t="s">
        <v>1680</v>
      </c>
      <c r="R70" s="182">
        <v>1000</v>
      </c>
      <c r="S70" s="178">
        <v>2000</v>
      </c>
      <c r="T70" s="178">
        <v>3000</v>
      </c>
      <c r="U70" s="183">
        <v>2000</v>
      </c>
      <c r="V70" s="59">
        <v>321760000</v>
      </c>
      <c r="W70" s="60"/>
      <c r="X70" s="60"/>
      <c r="Y70" s="60"/>
      <c r="Z70" s="60"/>
      <c r="AA70" s="61"/>
      <c r="AB70" s="62">
        <v>100000000</v>
      </c>
      <c r="AC70" s="60"/>
      <c r="AD70" s="60"/>
      <c r="AE70" s="60"/>
      <c r="AF70" s="60"/>
      <c r="AG70" s="60"/>
      <c r="AH70" s="63"/>
      <c r="AI70" s="62">
        <v>100000000</v>
      </c>
      <c r="AJ70" s="60"/>
      <c r="AK70" s="60"/>
      <c r="AL70" s="60"/>
      <c r="AM70" s="60"/>
      <c r="AN70" s="60"/>
      <c r="AO70" s="63"/>
      <c r="AP70" s="62">
        <v>100000000</v>
      </c>
      <c r="AQ70" s="60"/>
      <c r="AR70" s="60"/>
      <c r="AS70" s="60"/>
      <c r="AT70" s="60"/>
      <c r="AU70" s="60"/>
      <c r="AV70" s="64"/>
      <c r="AW70" s="55">
        <f t="shared" si="6"/>
        <v>321760000</v>
      </c>
      <c r="AX70" s="55">
        <f t="shared" si="7"/>
        <v>100000000</v>
      </c>
      <c r="AY70" s="55">
        <f t="shared" si="8"/>
        <v>100000000</v>
      </c>
      <c r="AZ70" s="55">
        <f t="shared" si="9"/>
        <v>100000000</v>
      </c>
      <c r="BA70" s="55">
        <f t="shared" si="10"/>
        <v>621760000</v>
      </c>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row>
    <row r="71" spans="1:133" s="4" customFormat="1" ht="110.25" x14ac:dyDescent="0.25">
      <c r="A71" s="148" t="s">
        <v>28</v>
      </c>
      <c r="B71" s="110" t="s">
        <v>158</v>
      </c>
      <c r="C71" s="56" t="s">
        <v>159</v>
      </c>
      <c r="D71" s="110" t="s">
        <v>160</v>
      </c>
      <c r="E71" s="144">
        <v>25.3</v>
      </c>
      <c r="F71" s="144">
        <v>23</v>
      </c>
      <c r="G71" s="66" t="s">
        <v>161</v>
      </c>
      <c r="H71" s="66" t="s">
        <v>1211</v>
      </c>
      <c r="I71" s="108" t="s">
        <v>167</v>
      </c>
      <c r="J71" s="108" t="s">
        <v>1683</v>
      </c>
      <c r="K71" s="178">
        <v>0</v>
      </c>
      <c r="L71" s="178">
        <v>1000</v>
      </c>
      <c r="M71" s="108" t="s">
        <v>163</v>
      </c>
      <c r="N71" s="108" t="s">
        <v>164</v>
      </c>
      <c r="O71" s="54" t="s">
        <v>165</v>
      </c>
      <c r="P71" s="72" t="s">
        <v>39</v>
      </c>
      <c r="Q71" s="167" t="s">
        <v>1680</v>
      </c>
      <c r="R71" s="182">
        <v>0</v>
      </c>
      <c r="S71" s="178">
        <v>0</v>
      </c>
      <c r="T71" s="178">
        <v>600</v>
      </c>
      <c r="U71" s="183">
        <v>400</v>
      </c>
      <c r="V71" s="59"/>
      <c r="W71" s="60"/>
      <c r="X71" s="60"/>
      <c r="Y71" s="60"/>
      <c r="Z71" s="60"/>
      <c r="AA71" s="61"/>
      <c r="AB71" s="62">
        <v>100000000</v>
      </c>
      <c r="AC71" s="60"/>
      <c r="AD71" s="60"/>
      <c r="AE71" s="60"/>
      <c r="AF71" s="60"/>
      <c r="AG71" s="60"/>
      <c r="AH71" s="63"/>
      <c r="AI71" s="62">
        <v>100000000</v>
      </c>
      <c r="AJ71" s="60"/>
      <c r="AK71" s="60"/>
      <c r="AL71" s="60"/>
      <c r="AM71" s="60"/>
      <c r="AN71" s="60"/>
      <c r="AO71" s="63"/>
      <c r="AP71" s="62">
        <v>100000000</v>
      </c>
      <c r="AQ71" s="60"/>
      <c r="AR71" s="60"/>
      <c r="AS71" s="60"/>
      <c r="AT71" s="60"/>
      <c r="AU71" s="60"/>
      <c r="AV71" s="64"/>
      <c r="AW71" s="55">
        <f t="shared" si="6"/>
        <v>0</v>
      </c>
      <c r="AX71" s="55">
        <f t="shared" si="7"/>
        <v>100000000</v>
      </c>
      <c r="AY71" s="55">
        <f t="shared" si="8"/>
        <v>100000000</v>
      </c>
      <c r="AZ71" s="55">
        <f t="shared" si="9"/>
        <v>100000000</v>
      </c>
      <c r="BA71" s="55">
        <f t="shared" si="10"/>
        <v>300000000</v>
      </c>
    </row>
    <row r="72" spans="1:133" s="22" customFormat="1" ht="110.25" x14ac:dyDescent="0.25">
      <c r="A72" s="148" t="s">
        <v>28</v>
      </c>
      <c r="B72" s="110" t="s">
        <v>158</v>
      </c>
      <c r="C72" s="56" t="s">
        <v>159</v>
      </c>
      <c r="D72" s="110" t="s">
        <v>160</v>
      </c>
      <c r="E72" s="144">
        <v>25.3</v>
      </c>
      <c r="F72" s="144">
        <v>23</v>
      </c>
      <c r="G72" s="108" t="s">
        <v>168</v>
      </c>
      <c r="H72" s="108" t="s">
        <v>1212</v>
      </c>
      <c r="I72" s="108" t="s">
        <v>169</v>
      </c>
      <c r="J72" s="108" t="s">
        <v>1683</v>
      </c>
      <c r="K72" s="178">
        <v>0</v>
      </c>
      <c r="L72" s="178">
        <v>5</v>
      </c>
      <c r="M72" s="108" t="s">
        <v>163</v>
      </c>
      <c r="N72" s="108" t="s">
        <v>164</v>
      </c>
      <c r="O72" s="54" t="s">
        <v>165</v>
      </c>
      <c r="P72" s="72" t="s">
        <v>39</v>
      </c>
      <c r="Q72" s="167" t="s">
        <v>1680</v>
      </c>
      <c r="R72" s="182">
        <v>0</v>
      </c>
      <c r="S72" s="178">
        <v>0</v>
      </c>
      <c r="T72" s="178">
        <v>2</v>
      </c>
      <c r="U72" s="183">
        <v>3</v>
      </c>
      <c r="V72" s="59"/>
      <c r="W72" s="60"/>
      <c r="X72" s="60"/>
      <c r="Y72" s="60"/>
      <c r="Z72" s="60"/>
      <c r="AA72" s="61"/>
      <c r="AB72" s="62">
        <v>2500000000</v>
      </c>
      <c r="AC72" s="60"/>
      <c r="AD72" s="60"/>
      <c r="AE72" s="60"/>
      <c r="AF72" s="60"/>
      <c r="AG72" s="60"/>
      <c r="AH72" s="63"/>
      <c r="AI72" s="62">
        <v>2500000000</v>
      </c>
      <c r="AJ72" s="60"/>
      <c r="AK72" s="60"/>
      <c r="AL72" s="60"/>
      <c r="AM72" s="60"/>
      <c r="AN72" s="60"/>
      <c r="AO72" s="63"/>
      <c r="AP72" s="62">
        <v>2400000000</v>
      </c>
      <c r="AQ72" s="60"/>
      <c r="AR72" s="60"/>
      <c r="AS72" s="60"/>
      <c r="AT72" s="60"/>
      <c r="AU72" s="60"/>
      <c r="AV72" s="64"/>
      <c r="AW72" s="55">
        <f t="shared" si="6"/>
        <v>0</v>
      </c>
      <c r="AX72" s="55">
        <f t="shared" si="7"/>
        <v>2500000000</v>
      </c>
      <c r="AY72" s="55">
        <f t="shared" si="8"/>
        <v>2500000000</v>
      </c>
      <c r="AZ72" s="55">
        <f t="shared" si="9"/>
        <v>2400000000</v>
      </c>
      <c r="BA72" s="55">
        <f t="shared" si="10"/>
        <v>7400000000</v>
      </c>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row>
    <row r="73" spans="1:133" s="15" customFormat="1" ht="94.5" x14ac:dyDescent="0.25">
      <c r="A73" s="148" t="s">
        <v>28</v>
      </c>
      <c r="B73" s="110" t="s">
        <v>158</v>
      </c>
      <c r="C73" s="56" t="s">
        <v>159</v>
      </c>
      <c r="D73" s="110" t="s">
        <v>160</v>
      </c>
      <c r="E73" s="144">
        <v>25.3</v>
      </c>
      <c r="F73" s="144">
        <v>23</v>
      </c>
      <c r="G73" s="108" t="s">
        <v>170</v>
      </c>
      <c r="H73" s="108" t="s">
        <v>1213</v>
      </c>
      <c r="I73" s="108" t="s">
        <v>171</v>
      </c>
      <c r="J73" s="108" t="s">
        <v>1683</v>
      </c>
      <c r="K73" s="178">
        <v>52</v>
      </c>
      <c r="L73" s="178">
        <v>1000</v>
      </c>
      <c r="M73" s="108" t="s">
        <v>172</v>
      </c>
      <c r="N73" s="108" t="s">
        <v>164</v>
      </c>
      <c r="O73" s="54" t="s">
        <v>165</v>
      </c>
      <c r="P73" s="72" t="s">
        <v>39</v>
      </c>
      <c r="Q73" s="167" t="s">
        <v>1680</v>
      </c>
      <c r="R73" s="182">
        <v>0</v>
      </c>
      <c r="S73" s="178">
        <v>0</v>
      </c>
      <c r="T73" s="178">
        <v>500</v>
      </c>
      <c r="U73" s="183">
        <v>500</v>
      </c>
      <c r="V73" s="59"/>
      <c r="W73" s="60"/>
      <c r="X73" s="60"/>
      <c r="Y73" s="60"/>
      <c r="Z73" s="60"/>
      <c r="AA73" s="61"/>
      <c r="AB73" s="62"/>
      <c r="AC73" s="60"/>
      <c r="AD73" s="60"/>
      <c r="AE73" s="60"/>
      <c r="AF73" s="60"/>
      <c r="AG73" s="60"/>
      <c r="AH73" s="63"/>
      <c r="AI73" s="62">
        <f>10000000*500</f>
        <v>5000000000</v>
      </c>
      <c r="AJ73" s="60"/>
      <c r="AK73" s="60"/>
      <c r="AL73" s="60"/>
      <c r="AM73" s="60"/>
      <c r="AN73" s="60"/>
      <c r="AO73" s="63"/>
      <c r="AP73" s="62">
        <v>4000000000</v>
      </c>
      <c r="AQ73" s="60"/>
      <c r="AR73" s="60"/>
      <c r="AS73" s="60"/>
      <c r="AT73" s="60"/>
      <c r="AU73" s="60"/>
      <c r="AV73" s="64"/>
      <c r="AW73" s="55">
        <f t="shared" si="6"/>
        <v>0</v>
      </c>
      <c r="AX73" s="55">
        <f t="shared" si="7"/>
        <v>0</v>
      </c>
      <c r="AY73" s="55">
        <f t="shared" si="8"/>
        <v>5000000000</v>
      </c>
      <c r="AZ73" s="55">
        <f t="shared" si="9"/>
        <v>4000000000</v>
      </c>
      <c r="BA73" s="55">
        <f t="shared" si="10"/>
        <v>9000000000</v>
      </c>
    </row>
    <row r="74" spans="1:133" s="15" customFormat="1" ht="94.5" x14ac:dyDescent="0.25">
      <c r="A74" s="148" t="s">
        <v>28</v>
      </c>
      <c r="B74" s="110" t="s">
        <v>158</v>
      </c>
      <c r="C74" s="56" t="s">
        <v>159</v>
      </c>
      <c r="D74" s="110" t="s">
        <v>160</v>
      </c>
      <c r="E74" s="144">
        <v>25.3</v>
      </c>
      <c r="F74" s="144">
        <v>23</v>
      </c>
      <c r="G74" s="108" t="s">
        <v>173</v>
      </c>
      <c r="H74" s="108" t="s">
        <v>1214</v>
      </c>
      <c r="I74" s="108" t="s">
        <v>174</v>
      </c>
      <c r="J74" s="108" t="s">
        <v>1683</v>
      </c>
      <c r="K74" s="178">
        <v>22000</v>
      </c>
      <c r="L74" s="178">
        <v>88000</v>
      </c>
      <c r="M74" s="108" t="s">
        <v>175</v>
      </c>
      <c r="N74" s="108" t="s">
        <v>164</v>
      </c>
      <c r="O74" s="54" t="s">
        <v>165</v>
      </c>
      <c r="P74" s="72" t="s">
        <v>39</v>
      </c>
      <c r="Q74" s="167" t="s">
        <v>1680</v>
      </c>
      <c r="R74" s="182">
        <v>10000</v>
      </c>
      <c r="S74" s="178">
        <v>26000</v>
      </c>
      <c r="T74" s="178">
        <v>26000</v>
      </c>
      <c r="U74" s="183">
        <v>26000</v>
      </c>
      <c r="V74" s="59">
        <v>339000000</v>
      </c>
      <c r="W74" s="60"/>
      <c r="X74" s="60"/>
      <c r="Y74" s="60"/>
      <c r="Z74" s="60"/>
      <c r="AA74" s="61"/>
      <c r="AB74" s="62">
        <v>200000000</v>
      </c>
      <c r="AC74" s="60"/>
      <c r="AD74" s="60"/>
      <c r="AE74" s="60"/>
      <c r="AF74" s="60"/>
      <c r="AG74" s="60"/>
      <c r="AH74" s="63"/>
      <c r="AI74" s="62">
        <v>200000000</v>
      </c>
      <c r="AJ74" s="60"/>
      <c r="AK74" s="60"/>
      <c r="AL74" s="60"/>
      <c r="AM74" s="60"/>
      <c r="AN74" s="60"/>
      <c r="AO74" s="63"/>
      <c r="AP74" s="62">
        <v>200000000</v>
      </c>
      <c r="AQ74" s="60"/>
      <c r="AR74" s="60"/>
      <c r="AS74" s="60"/>
      <c r="AT74" s="60"/>
      <c r="AU74" s="60"/>
      <c r="AV74" s="64"/>
      <c r="AW74" s="55">
        <f t="shared" si="6"/>
        <v>339000000</v>
      </c>
      <c r="AX74" s="55">
        <f t="shared" si="7"/>
        <v>200000000</v>
      </c>
      <c r="AY74" s="55">
        <f t="shared" si="8"/>
        <v>200000000</v>
      </c>
      <c r="AZ74" s="55">
        <f t="shared" si="9"/>
        <v>200000000</v>
      </c>
      <c r="BA74" s="55">
        <f t="shared" si="10"/>
        <v>939000000</v>
      </c>
    </row>
    <row r="75" spans="1:133" s="15" customFormat="1" ht="110.25" x14ac:dyDescent="0.25">
      <c r="A75" s="148" t="s">
        <v>28</v>
      </c>
      <c r="B75" s="110" t="s">
        <v>158</v>
      </c>
      <c r="C75" s="56" t="s">
        <v>159</v>
      </c>
      <c r="D75" s="110" t="s">
        <v>160</v>
      </c>
      <c r="E75" s="144">
        <v>25.3</v>
      </c>
      <c r="F75" s="144">
        <v>23</v>
      </c>
      <c r="G75" s="108" t="s">
        <v>176</v>
      </c>
      <c r="H75" s="108" t="s">
        <v>1215</v>
      </c>
      <c r="I75" s="108" t="s">
        <v>177</v>
      </c>
      <c r="J75" s="108" t="s">
        <v>1683</v>
      </c>
      <c r="K75" s="178">
        <v>6112</v>
      </c>
      <c r="L75" s="178">
        <v>6112</v>
      </c>
      <c r="M75" s="108" t="s">
        <v>175</v>
      </c>
      <c r="N75" s="100" t="s">
        <v>164</v>
      </c>
      <c r="O75" s="54" t="s">
        <v>165</v>
      </c>
      <c r="P75" s="72" t="s">
        <v>42</v>
      </c>
      <c r="Q75" s="54" t="s">
        <v>1679</v>
      </c>
      <c r="R75" s="182">
        <v>6112</v>
      </c>
      <c r="S75" s="178">
        <v>6112</v>
      </c>
      <c r="T75" s="178">
        <v>6112</v>
      </c>
      <c r="U75" s="183">
        <v>6112</v>
      </c>
      <c r="V75" s="59">
        <v>121000000</v>
      </c>
      <c r="W75" s="60"/>
      <c r="X75" s="60"/>
      <c r="Y75" s="60"/>
      <c r="Z75" s="60"/>
      <c r="AA75" s="61"/>
      <c r="AB75" s="62">
        <v>121000000</v>
      </c>
      <c r="AC75" s="60"/>
      <c r="AD75" s="60"/>
      <c r="AE75" s="60"/>
      <c r="AF75" s="60"/>
      <c r="AG75" s="60"/>
      <c r="AH75" s="63"/>
      <c r="AI75" s="62">
        <v>121000000</v>
      </c>
      <c r="AJ75" s="60"/>
      <c r="AK75" s="60"/>
      <c r="AL75" s="60"/>
      <c r="AM75" s="60"/>
      <c r="AN75" s="60"/>
      <c r="AO75" s="63"/>
      <c r="AP75" s="62">
        <v>121000000</v>
      </c>
      <c r="AQ75" s="60"/>
      <c r="AR75" s="60"/>
      <c r="AS75" s="60"/>
      <c r="AT75" s="60"/>
      <c r="AU75" s="60"/>
      <c r="AV75" s="64"/>
      <c r="AW75" s="55">
        <f t="shared" si="6"/>
        <v>121000000</v>
      </c>
      <c r="AX75" s="55">
        <f t="shared" si="7"/>
        <v>121000000</v>
      </c>
      <c r="AY75" s="55">
        <f t="shared" si="8"/>
        <v>121000000</v>
      </c>
      <c r="AZ75" s="55">
        <f t="shared" si="9"/>
        <v>121000000</v>
      </c>
      <c r="BA75" s="55">
        <f t="shared" si="10"/>
        <v>484000000</v>
      </c>
    </row>
    <row r="76" spans="1:133" s="18" customFormat="1" ht="78.75" x14ac:dyDescent="0.25">
      <c r="A76" s="148" t="s">
        <v>28</v>
      </c>
      <c r="B76" s="110" t="s">
        <v>158</v>
      </c>
      <c r="C76" s="56" t="s">
        <v>178</v>
      </c>
      <c r="D76" s="110" t="s">
        <v>160</v>
      </c>
      <c r="E76" s="144">
        <v>25.3</v>
      </c>
      <c r="F76" s="144">
        <v>23</v>
      </c>
      <c r="G76" s="110" t="s">
        <v>179</v>
      </c>
      <c r="H76" s="110" t="s">
        <v>1216</v>
      </c>
      <c r="I76" s="108" t="s">
        <v>180</v>
      </c>
      <c r="J76" s="108" t="s">
        <v>1683</v>
      </c>
      <c r="K76" s="178">
        <v>580</v>
      </c>
      <c r="L76" s="178">
        <v>4000</v>
      </c>
      <c r="M76" s="108" t="s">
        <v>175</v>
      </c>
      <c r="N76" s="100" t="s">
        <v>164</v>
      </c>
      <c r="O76" s="54" t="s">
        <v>165</v>
      </c>
      <c r="P76" s="72" t="s">
        <v>39</v>
      </c>
      <c r="Q76" s="167" t="s">
        <v>1680</v>
      </c>
      <c r="R76" s="182">
        <v>500</v>
      </c>
      <c r="S76" s="178">
        <v>600</v>
      </c>
      <c r="T76" s="178">
        <v>1700</v>
      </c>
      <c r="U76" s="183">
        <v>1200</v>
      </c>
      <c r="V76" s="59">
        <v>335540000</v>
      </c>
      <c r="W76" s="60"/>
      <c r="X76" s="60"/>
      <c r="Y76" s="60"/>
      <c r="Z76" s="60"/>
      <c r="AA76" s="61"/>
      <c r="AB76" s="62">
        <v>4205200000</v>
      </c>
      <c r="AC76" s="60"/>
      <c r="AD76" s="60"/>
      <c r="AE76" s="60"/>
      <c r="AF76" s="60"/>
      <c r="AG76" s="60"/>
      <c r="AH76" s="63"/>
      <c r="AI76" s="62">
        <v>2815000000</v>
      </c>
      <c r="AJ76" s="60"/>
      <c r="AK76" s="60"/>
      <c r="AL76" s="60"/>
      <c r="AM76" s="60"/>
      <c r="AN76" s="60"/>
      <c r="AO76" s="63"/>
      <c r="AP76" s="62">
        <v>1510000000</v>
      </c>
      <c r="AQ76" s="60"/>
      <c r="AR76" s="60"/>
      <c r="AS76" s="60"/>
      <c r="AT76" s="60"/>
      <c r="AU76" s="60"/>
      <c r="AV76" s="64"/>
      <c r="AW76" s="55">
        <f t="shared" si="6"/>
        <v>335540000</v>
      </c>
      <c r="AX76" s="55">
        <f t="shared" si="7"/>
        <v>4205200000</v>
      </c>
      <c r="AY76" s="55">
        <f t="shared" si="8"/>
        <v>2815000000</v>
      </c>
      <c r="AZ76" s="55">
        <f t="shared" si="9"/>
        <v>1510000000</v>
      </c>
      <c r="BA76" s="55">
        <f t="shared" si="10"/>
        <v>8865740000</v>
      </c>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row>
    <row r="77" spans="1:133" s="26" customFormat="1" ht="173.25" x14ac:dyDescent="0.25">
      <c r="A77" s="148" t="s">
        <v>28</v>
      </c>
      <c r="B77" s="110" t="s">
        <v>158</v>
      </c>
      <c r="C77" s="56" t="s">
        <v>178</v>
      </c>
      <c r="D77" s="110" t="s">
        <v>160</v>
      </c>
      <c r="E77" s="144">
        <v>25.3</v>
      </c>
      <c r="F77" s="144">
        <v>23</v>
      </c>
      <c r="G77" s="110" t="s">
        <v>179</v>
      </c>
      <c r="H77" s="110" t="s">
        <v>1146</v>
      </c>
      <c r="I77" s="109" t="s">
        <v>40</v>
      </c>
      <c r="J77" s="109" t="s">
        <v>1682</v>
      </c>
      <c r="K77" s="180" t="s">
        <v>41</v>
      </c>
      <c r="L77" s="179">
        <v>100</v>
      </c>
      <c r="M77" s="108" t="s">
        <v>175</v>
      </c>
      <c r="N77" s="100" t="s">
        <v>164</v>
      </c>
      <c r="O77" s="54" t="s">
        <v>165</v>
      </c>
      <c r="P77" s="58" t="s">
        <v>181</v>
      </c>
      <c r="Q77" s="171" t="s">
        <v>1679</v>
      </c>
      <c r="R77" s="182">
        <v>70</v>
      </c>
      <c r="S77" s="178">
        <v>100</v>
      </c>
      <c r="T77" s="178">
        <v>100</v>
      </c>
      <c r="U77" s="183">
        <v>100</v>
      </c>
      <c r="V77" s="59">
        <v>5000000</v>
      </c>
      <c r="W77" s="60"/>
      <c r="X77" s="60"/>
      <c r="Y77" s="60"/>
      <c r="Z77" s="60"/>
      <c r="AA77" s="61"/>
      <c r="AB77" s="62">
        <v>5000000</v>
      </c>
      <c r="AC77" s="60"/>
      <c r="AD77" s="60"/>
      <c r="AE77" s="60"/>
      <c r="AF77" s="60"/>
      <c r="AG77" s="60"/>
      <c r="AH77" s="63"/>
      <c r="AI77" s="62">
        <v>5000000</v>
      </c>
      <c r="AJ77" s="60"/>
      <c r="AK77" s="60"/>
      <c r="AL77" s="60"/>
      <c r="AM77" s="60"/>
      <c r="AN77" s="60"/>
      <c r="AO77" s="63"/>
      <c r="AP77" s="62">
        <v>5000000</v>
      </c>
      <c r="AQ77" s="60"/>
      <c r="AR77" s="60"/>
      <c r="AS77" s="60"/>
      <c r="AT77" s="60"/>
      <c r="AU77" s="60"/>
      <c r="AV77" s="64"/>
      <c r="AW77" s="55">
        <f t="shared" si="6"/>
        <v>5000000</v>
      </c>
      <c r="AX77" s="55">
        <f t="shared" si="7"/>
        <v>5000000</v>
      </c>
      <c r="AY77" s="55">
        <f t="shared" si="8"/>
        <v>5000000</v>
      </c>
      <c r="AZ77" s="55">
        <f t="shared" si="9"/>
        <v>5000000</v>
      </c>
      <c r="BA77" s="55">
        <f t="shared" si="10"/>
        <v>20000000</v>
      </c>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row>
    <row r="78" spans="1:133" s="22" customFormat="1" ht="78.75" x14ac:dyDescent="0.25">
      <c r="A78" s="148" t="s">
        <v>28</v>
      </c>
      <c r="B78" s="110" t="s">
        <v>158</v>
      </c>
      <c r="C78" s="56" t="s">
        <v>178</v>
      </c>
      <c r="D78" s="110" t="s">
        <v>160</v>
      </c>
      <c r="E78" s="144">
        <v>25.3</v>
      </c>
      <c r="F78" s="144">
        <v>23</v>
      </c>
      <c r="G78" s="108" t="s">
        <v>182</v>
      </c>
      <c r="H78" s="108" t="s">
        <v>1217</v>
      </c>
      <c r="I78" s="108" t="s">
        <v>183</v>
      </c>
      <c r="J78" s="108" t="s">
        <v>1683</v>
      </c>
      <c r="K78" s="178">
        <v>363</v>
      </c>
      <c r="L78" s="178">
        <v>6000</v>
      </c>
      <c r="M78" s="108" t="s">
        <v>835</v>
      </c>
      <c r="N78" s="100" t="s">
        <v>164</v>
      </c>
      <c r="O78" s="54" t="s">
        <v>165</v>
      </c>
      <c r="P78" s="72" t="s">
        <v>39</v>
      </c>
      <c r="Q78" s="167" t="s">
        <v>1680</v>
      </c>
      <c r="R78" s="182">
        <v>400</v>
      </c>
      <c r="S78" s="178">
        <v>2000</v>
      </c>
      <c r="T78" s="178">
        <v>2000</v>
      </c>
      <c r="U78" s="183">
        <v>1600</v>
      </c>
      <c r="V78" s="59">
        <v>2000000000</v>
      </c>
      <c r="W78" s="60"/>
      <c r="X78" s="60"/>
      <c r="Y78" s="60"/>
      <c r="Z78" s="60"/>
      <c r="AA78" s="61"/>
      <c r="AB78" s="62">
        <v>4000000000</v>
      </c>
      <c r="AC78" s="60"/>
      <c r="AD78" s="60"/>
      <c r="AE78" s="60"/>
      <c r="AF78" s="60">
        <v>16695000000</v>
      </c>
      <c r="AG78" s="60"/>
      <c r="AH78" s="63"/>
      <c r="AI78" s="62">
        <v>19000000000</v>
      </c>
      <c r="AJ78" s="60"/>
      <c r="AK78" s="60"/>
      <c r="AL78" s="60"/>
      <c r="AM78" s="60"/>
      <c r="AN78" s="60"/>
      <c r="AO78" s="63"/>
      <c r="AP78" s="62">
        <v>21000000000</v>
      </c>
      <c r="AQ78" s="60"/>
      <c r="AR78" s="60"/>
      <c r="AS78" s="60"/>
      <c r="AT78" s="60"/>
      <c r="AU78" s="60"/>
      <c r="AV78" s="64"/>
      <c r="AW78" s="55">
        <f t="shared" si="6"/>
        <v>2000000000</v>
      </c>
      <c r="AX78" s="55">
        <f t="shared" si="7"/>
        <v>20695000000</v>
      </c>
      <c r="AY78" s="55">
        <f t="shared" si="8"/>
        <v>19000000000</v>
      </c>
      <c r="AZ78" s="55">
        <f t="shared" si="9"/>
        <v>21000000000</v>
      </c>
      <c r="BA78" s="55">
        <f t="shared" si="10"/>
        <v>62695000000</v>
      </c>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row>
    <row r="79" spans="1:133" s="3" customFormat="1" ht="78.75" x14ac:dyDescent="0.25">
      <c r="A79" s="148" t="s">
        <v>28</v>
      </c>
      <c r="B79" s="110" t="s">
        <v>158</v>
      </c>
      <c r="C79" s="110" t="s">
        <v>184</v>
      </c>
      <c r="D79" s="110" t="s">
        <v>160</v>
      </c>
      <c r="E79" s="144">
        <v>25.3</v>
      </c>
      <c r="F79" s="144">
        <v>23</v>
      </c>
      <c r="G79" s="108" t="s">
        <v>185</v>
      </c>
      <c r="H79" s="108" t="s">
        <v>1218</v>
      </c>
      <c r="I79" s="108" t="s">
        <v>186</v>
      </c>
      <c r="J79" s="108" t="s">
        <v>1682</v>
      </c>
      <c r="K79" s="178">
        <v>0</v>
      </c>
      <c r="L79" s="179">
        <v>100</v>
      </c>
      <c r="M79" s="108" t="s">
        <v>175</v>
      </c>
      <c r="N79" s="100" t="s">
        <v>187</v>
      </c>
      <c r="O79" s="54" t="s">
        <v>188</v>
      </c>
      <c r="P79" s="67" t="s">
        <v>39</v>
      </c>
      <c r="Q79" s="166" t="s">
        <v>1680</v>
      </c>
      <c r="R79" s="182">
        <v>80</v>
      </c>
      <c r="S79" s="178">
        <v>20</v>
      </c>
      <c r="T79" s="178">
        <v>0</v>
      </c>
      <c r="U79" s="183">
        <v>0</v>
      </c>
      <c r="V79" s="59">
        <f>(1500000000+750000000)*0.8</f>
        <v>1800000000</v>
      </c>
      <c r="W79" s="60"/>
      <c r="X79" s="60"/>
      <c r="Y79" s="60"/>
      <c r="Z79" s="60"/>
      <c r="AA79" s="61"/>
      <c r="AB79" s="62">
        <f>(1500000000+750000000)*0.2</f>
        <v>450000000</v>
      </c>
      <c r="AC79" s="60"/>
      <c r="AD79" s="60"/>
      <c r="AE79" s="60"/>
      <c r="AF79" s="60"/>
      <c r="AG79" s="60"/>
      <c r="AH79" s="63"/>
      <c r="AI79" s="62"/>
      <c r="AJ79" s="60"/>
      <c r="AK79" s="60"/>
      <c r="AL79" s="60"/>
      <c r="AM79" s="60"/>
      <c r="AN79" s="60"/>
      <c r="AO79" s="63"/>
      <c r="AP79" s="62"/>
      <c r="AQ79" s="60"/>
      <c r="AR79" s="60"/>
      <c r="AS79" s="60"/>
      <c r="AT79" s="60"/>
      <c r="AU79" s="60"/>
      <c r="AV79" s="64"/>
      <c r="AW79" s="55">
        <f t="shared" si="6"/>
        <v>1800000000</v>
      </c>
      <c r="AX79" s="55">
        <f t="shared" si="7"/>
        <v>450000000</v>
      </c>
      <c r="AY79" s="55">
        <f t="shared" si="8"/>
        <v>0</v>
      </c>
      <c r="AZ79" s="55">
        <f t="shared" si="9"/>
        <v>0</v>
      </c>
      <c r="BA79" s="55">
        <f t="shared" si="10"/>
        <v>2250000000</v>
      </c>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row>
    <row r="80" spans="1:133" s="22" customFormat="1" ht="78.75" x14ac:dyDescent="0.25">
      <c r="A80" s="148" t="s">
        <v>28</v>
      </c>
      <c r="B80" s="110" t="s">
        <v>158</v>
      </c>
      <c r="C80" s="110" t="s">
        <v>184</v>
      </c>
      <c r="D80" s="110" t="s">
        <v>160</v>
      </c>
      <c r="E80" s="144">
        <v>25.3</v>
      </c>
      <c r="F80" s="144">
        <v>23</v>
      </c>
      <c r="G80" s="108" t="s">
        <v>189</v>
      </c>
      <c r="H80" s="108" t="s">
        <v>1219</v>
      </c>
      <c r="I80" s="108" t="s">
        <v>190</v>
      </c>
      <c r="J80" s="108" t="s">
        <v>1683</v>
      </c>
      <c r="K80" s="178">
        <v>2</v>
      </c>
      <c r="L80" s="178">
        <v>4</v>
      </c>
      <c r="M80" s="108" t="s">
        <v>175</v>
      </c>
      <c r="N80" s="100" t="s">
        <v>164</v>
      </c>
      <c r="O80" s="54" t="s">
        <v>165</v>
      </c>
      <c r="P80" s="72" t="s">
        <v>1677</v>
      </c>
      <c r="Q80" s="167" t="s">
        <v>1680</v>
      </c>
      <c r="R80" s="182">
        <v>0</v>
      </c>
      <c r="S80" s="178">
        <v>0</v>
      </c>
      <c r="T80" s="178">
        <v>1</v>
      </c>
      <c r="U80" s="183">
        <v>1</v>
      </c>
      <c r="V80" s="59"/>
      <c r="W80" s="60"/>
      <c r="X80" s="60"/>
      <c r="Y80" s="60"/>
      <c r="Z80" s="60"/>
      <c r="AA80" s="61"/>
      <c r="AB80" s="62"/>
      <c r="AC80" s="60"/>
      <c r="AD80" s="60"/>
      <c r="AE80" s="60"/>
      <c r="AF80" s="60"/>
      <c r="AG80" s="60"/>
      <c r="AH80" s="63"/>
      <c r="AI80" s="62">
        <v>450000000</v>
      </c>
      <c r="AJ80" s="60"/>
      <c r="AK80" s="60">
        <v>1050000000</v>
      </c>
      <c r="AL80" s="60"/>
      <c r="AM80" s="60"/>
      <c r="AN80" s="60"/>
      <c r="AO80" s="63"/>
      <c r="AP80" s="62">
        <v>450000000</v>
      </c>
      <c r="AQ80" s="60"/>
      <c r="AR80" s="60">
        <v>1050000000</v>
      </c>
      <c r="AS80" s="60"/>
      <c r="AT80" s="60"/>
      <c r="AU80" s="60"/>
      <c r="AV80" s="64"/>
      <c r="AW80" s="55">
        <f t="shared" si="6"/>
        <v>0</v>
      </c>
      <c r="AX80" s="55">
        <f t="shared" si="7"/>
        <v>0</v>
      </c>
      <c r="AY80" s="55">
        <f t="shared" si="8"/>
        <v>1500000000</v>
      </c>
      <c r="AZ80" s="55">
        <f t="shared" si="9"/>
        <v>1500000000</v>
      </c>
      <c r="BA80" s="55">
        <f t="shared" si="10"/>
        <v>3000000000</v>
      </c>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row>
    <row r="81" spans="1:133" s="15" customFormat="1" ht="78.75" x14ac:dyDescent="0.25">
      <c r="A81" s="148" t="s">
        <v>28</v>
      </c>
      <c r="B81" s="110" t="s">
        <v>158</v>
      </c>
      <c r="C81" s="110" t="s">
        <v>184</v>
      </c>
      <c r="D81" s="110" t="s">
        <v>160</v>
      </c>
      <c r="E81" s="144">
        <v>25.3</v>
      </c>
      <c r="F81" s="144">
        <v>23</v>
      </c>
      <c r="G81" s="108" t="s">
        <v>191</v>
      </c>
      <c r="H81" s="108" t="s">
        <v>1220</v>
      </c>
      <c r="I81" s="108" t="s">
        <v>192</v>
      </c>
      <c r="J81" s="108" t="s">
        <v>1682</v>
      </c>
      <c r="K81" s="178">
        <v>0</v>
      </c>
      <c r="L81" s="179">
        <v>100</v>
      </c>
      <c r="M81" s="54" t="s">
        <v>175</v>
      </c>
      <c r="N81" s="100" t="s">
        <v>164</v>
      </c>
      <c r="O81" s="54" t="s">
        <v>193</v>
      </c>
      <c r="P81" s="72" t="s">
        <v>39</v>
      </c>
      <c r="Q81" s="167" t="s">
        <v>1680</v>
      </c>
      <c r="R81" s="182">
        <v>0</v>
      </c>
      <c r="S81" s="178">
        <v>5</v>
      </c>
      <c r="T81" s="178">
        <v>45</v>
      </c>
      <c r="U81" s="183">
        <v>50</v>
      </c>
      <c r="V81" s="59"/>
      <c r="W81" s="60"/>
      <c r="X81" s="60"/>
      <c r="Y81" s="60"/>
      <c r="Z81" s="60"/>
      <c r="AA81" s="61"/>
      <c r="AB81" s="62">
        <v>433314899</v>
      </c>
      <c r="AC81" s="60"/>
      <c r="AD81" s="60"/>
      <c r="AE81" s="60"/>
      <c r="AF81" s="60"/>
      <c r="AG81" s="60"/>
      <c r="AH81" s="63"/>
      <c r="AI81" s="62">
        <f>302314899/2</f>
        <v>151157449.5</v>
      </c>
      <c r="AJ81" s="60"/>
      <c r="AK81" s="60">
        <f>1511574493/2</f>
        <v>755787246.5</v>
      </c>
      <c r="AL81" s="60"/>
      <c r="AM81" s="60"/>
      <c r="AN81" s="60"/>
      <c r="AO81" s="63"/>
      <c r="AP81" s="62">
        <f>302314899/2</f>
        <v>151157449.5</v>
      </c>
      <c r="AQ81" s="60"/>
      <c r="AR81" s="60">
        <f>1511574493/2</f>
        <v>755787246.5</v>
      </c>
      <c r="AS81" s="60"/>
      <c r="AT81" s="60"/>
      <c r="AU81" s="60"/>
      <c r="AV81" s="64"/>
      <c r="AW81" s="55">
        <f t="shared" si="6"/>
        <v>0</v>
      </c>
      <c r="AX81" s="55">
        <f t="shared" si="7"/>
        <v>433314899</v>
      </c>
      <c r="AY81" s="55">
        <f t="shared" si="8"/>
        <v>906944696</v>
      </c>
      <c r="AZ81" s="55">
        <f t="shared" si="9"/>
        <v>906944696</v>
      </c>
      <c r="BA81" s="55">
        <f t="shared" si="10"/>
        <v>2247204291</v>
      </c>
    </row>
    <row r="82" spans="1:133" s="22" customFormat="1" ht="78.75" x14ac:dyDescent="0.25">
      <c r="A82" s="148" t="s">
        <v>28</v>
      </c>
      <c r="B82" s="110" t="s">
        <v>158</v>
      </c>
      <c r="C82" s="110" t="s">
        <v>184</v>
      </c>
      <c r="D82" s="110" t="s">
        <v>160</v>
      </c>
      <c r="E82" s="144">
        <v>25.3</v>
      </c>
      <c r="F82" s="144">
        <v>23</v>
      </c>
      <c r="G82" s="108" t="s">
        <v>194</v>
      </c>
      <c r="H82" s="108" t="s">
        <v>1221</v>
      </c>
      <c r="I82" s="108" t="s">
        <v>195</v>
      </c>
      <c r="J82" s="108" t="s">
        <v>1683</v>
      </c>
      <c r="K82" s="178">
        <v>0</v>
      </c>
      <c r="L82" s="178">
        <v>3</v>
      </c>
      <c r="M82" s="54" t="s">
        <v>175</v>
      </c>
      <c r="N82" s="100" t="s">
        <v>187</v>
      </c>
      <c r="O82" s="54" t="s">
        <v>193</v>
      </c>
      <c r="P82" s="72" t="s">
        <v>39</v>
      </c>
      <c r="Q82" s="167" t="s">
        <v>1680</v>
      </c>
      <c r="R82" s="182">
        <v>0</v>
      </c>
      <c r="S82" s="178">
        <v>2</v>
      </c>
      <c r="T82" s="178">
        <v>1</v>
      </c>
      <c r="U82" s="183">
        <v>0</v>
      </c>
      <c r="V82" s="59"/>
      <c r="W82" s="60"/>
      <c r="X82" s="60"/>
      <c r="Y82" s="60"/>
      <c r="Z82" s="60"/>
      <c r="AA82" s="61"/>
      <c r="AB82" s="62">
        <f>5000000000+407520000</f>
        <v>5407520000</v>
      </c>
      <c r="AC82" s="60"/>
      <c r="AD82" s="60"/>
      <c r="AE82" s="60"/>
      <c r="AF82" s="60"/>
      <c r="AG82" s="60"/>
      <c r="AH82" s="63"/>
      <c r="AI82" s="62">
        <v>407520000</v>
      </c>
      <c r="AJ82" s="60"/>
      <c r="AK82" s="60"/>
      <c r="AL82" s="60"/>
      <c r="AM82" s="60"/>
      <c r="AN82" s="60"/>
      <c r="AO82" s="63"/>
      <c r="AP82" s="62">
        <v>407520000</v>
      </c>
      <c r="AQ82" s="60"/>
      <c r="AR82" s="60"/>
      <c r="AS82" s="60"/>
      <c r="AT82" s="60"/>
      <c r="AU82" s="60"/>
      <c r="AV82" s="64"/>
      <c r="AW82" s="55">
        <f t="shared" si="6"/>
        <v>0</v>
      </c>
      <c r="AX82" s="55">
        <f t="shared" si="7"/>
        <v>5407520000</v>
      </c>
      <c r="AY82" s="55">
        <f t="shared" si="8"/>
        <v>407520000</v>
      </c>
      <c r="AZ82" s="55">
        <f t="shared" si="9"/>
        <v>407520000</v>
      </c>
      <c r="BA82" s="55">
        <f t="shared" si="10"/>
        <v>6222560000</v>
      </c>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row>
    <row r="83" spans="1:133" s="4" customFormat="1" ht="362.25" x14ac:dyDescent="0.25">
      <c r="A83" s="148" t="s">
        <v>28</v>
      </c>
      <c r="B83" s="110" t="s">
        <v>158</v>
      </c>
      <c r="C83" s="56" t="s">
        <v>196</v>
      </c>
      <c r="D83" s="56" t="s">
        <v>197</v>
      </c>
      <c r="E83" s="144" t="s">
        <v>198</v>
      </c>
      <c r="F83" s="144" t="s">
        <v>199</v>
      </c>
      <c r="G83" s="66" t="s">
        <v>200</v>
      </c>
      <c r="H83" s="66" t="s">
        <v>1222</v>
      </c>
      <c r="I83" s="108" t="s">
        <v>201</v>
      </c>
      <c r="J83" s="108" t="s">
        <v>1689</v>
      </c>
      <c r="K83" s="178">
        <v>7600</v>
      </c>
      <c r="L83" s="178">
        <v>8200</v>
      </c>
      <c r="M83" s="108" t="s">
        <v>1140</v>
      </c>
      <c r="N83" s="100" t="s">
        <v>203</v>
      </c>
      <c r="O83" s="54" t="s">
        <v>204</v>
      </c>
      <c r="P83" s="72" t="s">
        <v>1677</v>
      </c>
      <c r="Q83" s="167" t="s">
        <v>1679</v>
      </c>
      <c r="R83" s="182">
        <v>7600</v>
      </c>
      <c r="S83" s="178">
        <v>7600</v>
      </c>
      <c r="T83" s="178">
        <v>7600</v>
      </c>
      <c r="U83" s="183">
        <v>8200</v>
      </c>
      <c r="V83" s="59"/>
      <c r="W83" s="60">
        <v>393305819</v>
      </c>
      <c r="X83" s="60"/>
      <c r="Y83" s="60"/>
      <c r="Z83" s="60"/>
      <c r="AA83" s="61"/>
      <c r="AB83" s="62"/>
      <c r="AC83" s="60"/>
      <c r="AD83" s="60">
        <v>77500000000</v>
      </c>
      <c r="AE83" s="60"/>
      <c r="AF83" s="60"/>
      <c r="AG83" s="60"/>
      <c r="AH83" s="63"/>
      <c r="AI83" s="62"/>
      <c r="AJ83" s="60"/>
      <c r="AK83" s="60">
        <v>20798000000</v>
      </c>
      <c r="AL83" s="60"/>
      <c r="AM83" s="60"/>
      <c r="AN83" s="60"/>
      <c r="AO83" s="63"/>
      <c r="AP83" s="62"/>
      <c r="AQ83" s="60"/>
      <c r="AR83" s="60">
        <v>25798000000</v>
      </c>
      <c r="AS83" s="60"/>
      <c r="AT83" s="60"/>
      <c r="AU83" s="60"/>
      <c r="AV83" s="64"/>
      <c r="AW83" s="55">
        <f t="shared" si="6"/>
        <v>393305819</v>
      </c>
      <c r="AX83" s="55">
        <f t="shared" si="7"/>
        <v>77500000000</v>
      </c>
      <c r="AY83" s="55">
        <f t="shared" si="8"/>
        <v>20798000000</v>
      </c>
      <c r="AZ83" s="55">
        <f t="shared" si="9"/>
        <v>25798000000</v>
      </c>
      <c r="BA83" s="55">
        <f t="shared" si="10"/>
        <v>124489305819</v>
      </c>
    </row>
    <row r="84" spans="1:133" s="3" customFormat="1" ht="362.25" x14ac:dyDescent="0.25">
      <c r="A84" s="148" t="s">
        <v>28</v>
      </c>
      <c r="B84" s="110" t="s">
        <v>158</v>
      </c>
      <c r="C84" s="56" t="s">
        <v>196</v>
      </c>
      <c r="D84" s="56" t="s">
        <v>197</v>
      </c>
      <c r="E84" s="144" t="s">
        <v>198</v>
      </c>
      <c r="F84" s="144" t="s">
        <v>199</v>
      </c>
      <c r="G84" s="66" t="s">
        <v>200</v>
      </c>
      <c r="H84" s="66" t="s">
        <v>1223</v>
      </c>
      <c r="I84" s="108" t="s">
        <v>205</v>
      </c>
      <c r="J84" s="108" t="s">
        <v>1690</v>
      </c>
      <c r="K84" s="178">
        <v>0</v>
      </c>
      <c r="L84" s="178">
        <v>17500</v>
      </c>
      <c r="M84" s="108" t="s">
        <v>1140</v>
      </c>
      <c r="N84" s="100" t="s">
        <v>203</v>
      </c>
      <c r="O84" s="54" t="s">
        <v>204</v>
      </c>
      <c r="P84" s="67" t="s">
        <v>39</v>
      </c>
      <c r="Q84" s="166" t="s">
        <v>1680</v>
      </c>
      <c r="R84" s="182">
        <v>0</v>
      </c>
      <c r="S84" s="178">
        <v>0</v>
      </c>
      <c r="T84" s="178">
        <v>0</v>
      </c>
      <c r="U84" s="183">
        <v>17500</v>
      </c>
      <c r="V84" s="59"/>
      <c r="W84" s="60"/>
      <c r="X84" s="60"/>
      <c r="Y84" s="60"/>
      <c r="Z84" s="60"/>
      <c r="AA84" s="61"/>
      <c r="AB84" s="62"/>
      <c r="AC84" s="60"/>
      <c r="AD84" s="60"/>
      <c r="AE84" s="60"/>
      <c r="AF84" s="60"/>
      <c r="AG84" s="60"/>
      <c r="AH84" s="63"/>
      <c r="AI84" s="62"/>
      <c r="AJ84" s="60"/>
      <c r="AK84" s="60"/>
      <c r="AL84" s="60"/>
      <c r="AM84" s="60"/>
      <c r="AN84" s="60"/>
      <c r="AO84" s="63"/>
      <c r="AP84" s="62"/>
      <c r="AQ84" s="60"/>
      <c r="AR84" s="60">
        <v>51702000000</v>
      </c>
      <c r="AS84" s="60"/>
      <c r="AT84" s="60"/>
      <c r="AU84" s="60"/>
      <c r="AV84" s="64"/>
      <c r="AW84" s="55">
        <f t="shared" si="6"/>
        <v>0</v>
      </c>
      <c r="AX84" s="55">
        <f t="shared" si="7"/>
        <v>0</v>
      </c>
      <c r="AY84" s="55">
        <f t="shared" si="8"/>
        <v>0</v>
      </c>
      <c r="AZ84" s="55">
        <f t="shared" si="9"/>
        <v>51702000000</v>
      </c>
      <c r="BA84" s="55">
        <f t="shared" si="10"/>
        <v>51702000000</v>
      </c>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row>
    <row r="85" spans="1:133" s="15" customFormat="1" ht="362.25" x14ac:dyDescent="0.25">
      <c r="A85" s="148" t="s">
        <v>28</v>
      </c>
      <c r="B85" s="110" t="s">
        <v>158</v>
      </c>
      <c r="C85" s="56" t="s">
        <v>196</v>
      </c>
      <c r="D85" s="56" t="s">
        <v>197</v>
      </c>
      <c r="E85" s="144" t="s">
        <v>198</v>
      </c>
      <c r="F85" s="144" t="s">
        <v>199</v>
      </c>
      <c r="G85" s="108" t="s">
        <v>206</v>
      </c>
      <c r="H85" s="108" t="s">
        <v>1224</v>
      </c>
      <c r="I85" s="108" t="s">
        <v>207</v>
      </c>
      <c r="J85" s="108" t="s">
        <v>1691</v>
      </c>
      <c r="K85" s="178">
        <v>0</v>
      </c>
      <c r="L85" s="178">
        <v>2000</v>
      </c>
      <c r="M85" s="108" t="s">
        <v>1140</v>
      </c>
      <c r="N85" s="100" t="s">
        <v>203</v>
      </c>
      <c r="O85" s="54" t="s">
        <v>204</v>
      </c>
      <c r="P85" s="72" t="s">
        <v>39</v>
      </c>
      <c r="Q85" s="167" t="s">
        <v>1680</v>
      </c>
      <c r="R85" s="182">
        <v>0</v>
      </c>
      <c r="S85" s="178">
        <v>0</v>
      </c>
      <c r="T85" s="178">
        <v>0</v>
      </c>
      <c r="U85" s="183">
        <v>2000</v>
      </c>
      <c r="V85" s="59"/>
      <c r="W85" s="60"/>
      <c r="X85" s="60"/>
      <c r="Y85" s="60"/>
      <c r="Z85" s="60"/>
      <c r="AA85" s="61"/>
      <c r="AB85" s="62"/>
      <c r="AC85" s="60"/>
      <c r="AD85" s="60">
        <v>32500000000</v>
      </c>
      <c r="AE85" s="60"/>
      <c r="AF85" s="60"/>
      <c r="AG85" s="60"/>
      <c r="AH85" s="63"/>
      <c r="AI85" s="62"/>
      <c r="AJ85" s="60"/>
      <c r="AK85" s="60">
        <v>22500000000</v>
      </c>
      <c r="AL85" s="60"/>
      <c r="AM85" s="60"/>
      <c r="AN85" s="60"/>
      <c r="AO85" s="63"/>
      <c r="AP85" s="62"/>
      <c r="AQ85" s="60"/>
      <c r="AR85" s="60">
        <v>55000000000</v>
      </c>
      <c r="AS85" s="60"/>
      <c r="AT85" s="60"/>
      <c r="AU85" s="60"/>
      <c r="AV85" s="64"/>
      <c r="AW85" s="55">
        <f t="shared" si="6"/>
        <v>0</v>
      </c>
      <c r="AX85" s="55">
        <f t="shared" si="7"/>
        <v>32500000000</v>
      </c>
      <c r="AY85" s="55">
        <f t="shared" si="8"/>
        <v>22500000000</v>
      </c>
      <c r="AZ85" s="55">
        <f t="shared" si="9"/>
        <v>55000000000</v>
      </c>
      <c r="BA85" s="55">
        <f t="shared" si="10"/>
        <v>110000000000</v>
      </c>
    </row>
    <row r="86" spans="1:133" s="18" customFormat="1" ht="362.25" x14ac:dyDescent="0.25">
      <c r="A86" s="148" t="s">
        <v>28</v>
      </c>
      <c r="B86" s="110" t="s">
        <v>158</v>
      </c>
      <c r="C86" s="56" t="s">
        <v>196</v>
      </c>
      <c r="D86" s="56" t="s">
        <v>197</v>
      </c>
      <c r="E86" s="144" t="s">
        <v>198</v>
      </c>
      <c r="F86" s="144" t="s">
        <v>199</v>
      </c>
      <c r="G86" s="108" t="s">
        <v>208</v>
      </c>
      <c r="H86" s="108" t="s">
        <v>1225</v>
      </c>
      <c r="I86" s="84" t="s">
        <v>209</v>
      </c>
      <c r="J86" s="84" t="s">
        <v>1692</v>
      </c>
      <c r="K86" s="180">
        <v>0</v>
      </c>
      <c r="L86" s="180">
        <v>3.2</v>
      </c>
      <c r="M86" s="108" t="s">
        <v>1140</v>
      </c>
      <c r="N86" s="100" t="s">
        <v>203</v>
      </c>
      <c r="O86" s="54" t="s">
        <v>204</v>
      </c>
      <c r="P86" s="78" t="s">
        <v>39</v>
      </c>
      <c r="Q86" s="170" t="s">
        <v>1680</v>
      </c>
      <c r="R86" s="182">
        <v>0</v>
      </c>
      <c r="S86" s="178">
        <v>0</v>
      </c>
      <c r="T86" s="178">
        <v>0</v>
      </c>
      <c r="U86" s="183">
        <v>3.2</v>
      </c>
      <c r="V86" s="59"/>
      <c r="W86" s="60"/>
      <c r="X86" s="60"/>
      <c r="Y86" s="60"/>
      <c r="Z86" s="60"/>
      <c r="AA86" s="61"/>
      <c r="AB86" s="62"/>
      <c r="AC86" s="60"/>
      <c r="AD86" s="60"/>
      <c r="AE86" s="60"/>
      <c r="AF86" s="60"/>
      <c r="AG86" s="60"/>
      <c r="AH86" s="63"/>
      <c r="AI86" s="62"/>
      <c r="AJ86" s="60"/>
      <c r="AK86" s="60"/>
      <c r="AL86" s="60"/>
      <c r="AM86" s="60"/>
      <c r="AN86" s="60"/>
      <c r="AO86" s="63"/>
      <c r="AP86" s="62"/>
      <c r="AQ86" s="60"/>
      <c r="AR86" s="60">
        <v>150000000000</v>
      </c>
      <c r="AS86" s="60"/>
      <c r="AT86" s="60"/>
      <c r="AU86" s="60"/>
      <c r="AV86" s="64"/>
      <c r="AW86" s="55">
        <f t="shared" si="6"/>
        <v>0</v>
      </c>
      <c r="AX86" s="55">
        <f t="shared" si="7"/>
        <v>0</v>
      </c>
      <c r="AY86" s="55">
        <f t="shared" si="8"/>
        <v>0</v>
      </c>
      <c r="AZ86" s="55">
        <f t="shared" si="9"/>
        <v>150000000000</v>
      </c>
      <c r="BA86" s="55">
        <f t="shared" si="10"/>
        <v>150000000000</v>
      </c>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row>
    <row r="87" spans="1:133" s="18" customFormat="1" ht="362.25" x14ac:dyDescent="0.25">
      <c r="A87" s="148" t="s">
        <v>28</v>
      </c>
      <c r="B87" s="110" t="s">
        <v>158</v>
      </c>
      <c r="C87" s="56" t="s">
        <v>196</v>
      </c>
      <c r="D87" s="56" t="s">
        <v>197</v>
      </c>
      <c r="E87" s="144" t="s">
        <v>198</v>
      </c>
      <c r="F87" s="144" t="s">
        <v>199</v>
      </c>
      <c r="G87" s="108" t="s">
        <v>210</v>
      </c>
      <c r="H87" s="108" t="s">
        <v>1226</v>
      </c>
      <c r="I87" s="96" t="s">
        <v>211</v>
      </c>
      <c r="J87" s="96" t="s">
        <v>1683</v>
      </c>
      <c r="K87" s="180">
        <v>0</v>
      </c>
      <c r="L87" s="180">
        <v>3</v>
      </c>
      <c r="M87" s="108" t="s">
        <v>1140</v>
      </c>
      <c r="N87" s="100" t="s">
        <v>203</v>
      </c>
      <c r="O87" s="54" t="s">
        <v>204</v>
      </c>
      <c r="P87" s="95" t="s">
        <v>39</v>
      </c>
      <c r="Q87" s="172" t="s">
        <v>1680</v>
      </c>
      <c r="R87" s="182">
        <v>0</v>
      </c>
      <c r="S87" s="178">
        <v>0</v>
      </c>
      <c r="T87" s="178">
        <v>0</v>
      </c>
      <c r="U87" s="183">
        <v>3</v>
      </c>
      <c r="V87" s="59"/>
      <c r="W87" s="60"/>
      <c r="X87" s="60"/>
      <c r="Y87" s="60"/>
      <c r="Z87" s="60"/>
      <c r="AA87" s="61"/>
      <c r="AB87" s="62"/>
      <c r="AC87" s="60"/>
      <c r="AD87" s="60"/>
      <c r="AE87" s="60"/>
      <c r="AF87" s="60"/>
      <c r="AG87" s="60"/>
      <c r="AH87" s="63"/>
      <c r="AI87" s="62"/>
      <c r="AJ87" s="60"/>
      <c r="AK87" s="60"/>
      <c r="AL87" s="60"/>
      <c r="AM87" s="60"/>
      <c r="AN87" s="60"/>
      <c r="AO87" s="63"/>
      <c r="AP87" s="62"/>
      <c r="AQ87" s="60"/>
      <c r="AR87" s="60">
        <v>2000000000</v>
      </c>
      <c r="AS87" s="60"/>
      <c r="AT87" s="60"/>
      <c r="AU87" s="60"/>
      <c r="AV87" s="64"/>
      <c r="AW87" s="55">
        <f t="shared" si="6"/>
        <v>0</v>
      </c>
      <c r="AX87" s="55">
        <f t="shared" si="7"/>
        <v>0</v>
      </c>
      <c r="AY87" s="55">
        <f t="shared" si="8"/>
        <v>0</v>
      </c>
      <c r="AZ87" s="55">
        <f t="shared" si="9"/>
        <v>2000000000</v>
      </c>
      <c r="BA87" s="55">
        <f t="shared" si="10"/>
        <v>2000000000</v>
      </c>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row>
    <row r="88" spans="1:133" s="18" customFormat="1" ht="362.25" x14ac:dyDescent="0.25">
      <c r="A88" s="148" t="s">
        <v>28</v>
      </c>
      <c r="B88" s="110" t="s">
        <v>158</v>
      </c>
      <c r="C88" s="56" t="s">
        <v>196</v>
      </c>
      <c r="D88" s="56" t="s">
        <v>197</v>
      </c>
      <c r="E88" s="144" t="s">
        <v>198</v>
      </c>
      <c r="F88" s="144" t="s">
        <v>199</v>
      </c>
      <c r="G88" s="108" t="s">
        <v>212</v>
      </c>
      <c r="H88" s="108" t="s">
        <v>1227</v>
      </c>
      <c r="I88" s="84" t="s">
        <v>213</v>
      </c>
      <c r="J88" s="84" t="s">
        <v>1682</v>
      </c>
      <c r="K88" s="178">
        <v>0</v>
      </c>
      <c r="L88" s="179">
        <v>100</v>
      </c>
      <c r="M88" s="108" t="s">
        <v>1140</v>
      </c>
      <c r="N88" s="100" t="s">
        <v>214</v>
      </c>
      <c r="O88" s="54" t="s">
        <v>215</v>
      </c>
      <c r="P88" s="78" t="s">
        <v>39</v>
      </c>
      <c r="Q88" s="170" t="s">
        <v>1679</v>
      </c>
      <c r="R88" s="182">
        <v>0</v>
      </c>
      <c r="S88" s="178">
        <v>33</v>
      </c>
      <c r="T88" s="178">
        <v>66</v>
      </c>
      <c r="U88" s="183">
        <v>100</v>
      </c>
      <c r="V88" s="59"/>
      <c r="W88" s="60"/>
      <c r="X88" s="60"/>
      <c r="Y88" s="60"/>
      <c r="Z88" s="60"/>
      <c r="AA88" s="61"/>
      <c r="AB88" s="62">
        <v>150000000</v>
      </c>
      <c r="AC88" s="60"/>
      <c r="AD88" s="60"/>
      <c r="AE88" s="60"/>
      <c r="AF88" s="60"/>
      <c r="AG88" s="60"/>
      <c r="AH88" s="63"/>
      <c r="AI88" s="62">
        <v>150000000</v>
      </c>
      <c r="AJ88" s="60"/>
      <c r="AK88" s="60"/>
      <c r="AL88" s="60"/>
      <c r="AM88" s="60"/>
      <c r="AN88" s="60"/>
      <c r="AO88" s="63"/>
      <c r="AP88" s="62"/>
      <c r="AQ88" s="60"/>
      <c r="AR88" s="60"/>
      <c r="AS88" s="60"/>
      <c r="AT88" s="60"/>
      <c r="AU88" s="60"/>
      <c r="AV88" s="64"/>
      <c r="AW88" s="55">
        <f t="shared" si="6"/>
        <v>0</v>
      </c>
      <c r="AX88" s="55">
        <f t="shared" si="7"/>
        <v>150000000</v>
      </c>
      <c r="AY88" s="55">
        <f t="shared" si="8"/>
        <v>150000000</v>
      </c>
      <c r="AZ88" s="55">
        <f t="shared" si="9"/>
        <v>0</v>
      </c>
      <c r="BA88" s="55">
        <f t="shared" si="10"/>
        <v>300000000</v>
      </c>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row>
    <row r="89" spans="1:133" s="22" customFormat="1" ht="362.25" x14ac:dyDescent="0.25">
      <c r="A89" s="148" t="s">
        <v>28</v>
      </c>
      <c r="B89" s="110" t="s">
        <v>158</v>
      </c>
      <c r="C89" s="56" t="s">
        <v>196</v>
      </c>
      <c r="D89" s="56" t="s">
        <v>197</v>
      </c>
      <c r="E89" s="144" t="s">
        <v>198</v>
      </c>
      <c r="F89" s="144" t="s">
        <v>199</v>
      </c>
      <c r="G89" s="108" t="s">
        <v>216</v>
      </c>
      <c r="H89" s="108" t="s">
        <v>1228</v>
      </c>
      <c r="I89" s="108" t="s">
        <v>217</v>
      </c>
      <c r="J89" s="108" t="s">
        <v>1682</v>
      </c>
      <c r="K89" s="178">
        <v>0</v>
      </c>
      <c r="L89" s="179">
        <v>100</v>
      </c>
      <c r="M89" s="108" t="s">
        <v>1140</v>
      </c>
      <c r="N89" s="108" t="s">
        <v>214</v>
      </c>
      <c r="O89" s="54" t="s">
        <v>215</v>
      </c>
      <c r="P89" s="72" t="s">
        <v>39</v>
      </c>
      <c r="Q89" s="167" t="s">
        <v>1680</v>
      </c>
      <c r="R89" s="182">
        <v>0</v>
      </c>
      <c r="S89" s="178">
        <v>100</v>
      </c>
      <c r="T89" s="178">
        <v>0</v>
      </c>
      <c r="U89" s="183">
        <v>0</v>
      </c>
      <c r="V89" s="59"/>
      <c r="W89" s="60"/>
      <c r="X89" s="60"/>
      <c r="Y89" s="60"/>
      <c r="Z89" s="60"/>
      <c r="AA89" s="61"/>
      <c r="AB89" s="62">
        <v>60000000</v>
      </c>
      <c r="AC89" s="60"/>
      <c r="AD89" s="60"/>
      <c r="AE89" s="60"/>
      <c r="AF89" s="60"/>
      <c r="AG89" s="60"/>
      <c r="AH89" s="63"/>
      <c r="AI89" s="62">
        <v>90000000</v>
      </c>
      <c r="AJ89" s="60"/>
      <c r="AK89" s="60"/>
      <c r="AL89" s="60"/>
      <c r="AM89" s="60"/>
      <c r="AN89" s="60"/>
      <c r="AO89" s="63"/>
      <c r="AP89" s="62">
        <v>150000000</v>
      </c>
      <c r="AQ89" s="60"/>
      <c r="AR89" s="60"/>
      <c r="AS89" s="60"/>
      <c r="AT89" s="60"/>
      <c r="AU89" s="60"/>
      <c r="AV89" s="64"/>
      <c r="AW89" s="55">
        <f t="shared" si="6"/>
        <v>0</v>
      </c>
      <c r="AX89" s="55">
        <f t="shared" si="7"/>
        <v>60000000</v>
      </c>
      <c r="AY89" s="55">
        <f t="shared" si="8"/>
        <v>90000000</v>
      </c>
      <c r="AZ89" s="55">
        <f t="shared" si="9"/>
        <v>150000000</v>
      </c>
      <c r="BA89" s="55">
        <f t="shared" si="10"/>
        <v>300000000</v>
      </c>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row>
    <row r="90" spans="1:133" s="18" customFormat="1" ht="362.25" x14ac:dyDescent="0.25">
      <c r="A90" s="148" t="s">
        <v>28</v>
      </c>
      <c r="B90" s="110" t="s">
        <v>158</v>
      </c>
      <c r="C90" s="56" t="s">
        <v>196</v>
      </c>
      <c r="D90" s="56" t="s">
        <v>197</v>
      </c>
      <c r="E90" s="144" t="s">
        <v>198</v>
      </c>
      <c r="F90" s="144" t="s">
        <v>199</v>
      </c>
      <c r="G90" s="108" t="s">
        <v>218</v>
      </c>
      <c r="H90" s="108" t="s">
        <v>1229</v>
      </c>
      <c r="I90" s="108" t="s">
        <v>219</v>
      </c>
      <c r="J90" s="108" t="s">
        <v>1684</v>
      </c>
      <c r="K90" s="178" t="s">
        <v>90</v>
      </c>
      <c r="L90" s="178">
        <v>8</v>
      </c>
      <c r="M90" s="103" t="s">
        <v>220</v>
      </c>
      <c r="N90" s="108" t="s">
        <v>214</v>
      </c>
      <c r="O90" s="54" t="s">
        <v>215</v>
      </c>
      <c r="P90" s="72" t="s">
        <v>39</v>
      </c>
      <c r="Q90" s="167" t="s">
        <v>1680</v>
      </c>
      <c r="R90" s="182">
        <v>1</v>
      </c>
      <c r="S90" s="178">
        <v>2</v>
      </c>
      <c r="T90" s="178">
        <v>3</v>
      </c>
      <c r="U90" s="183">
        <v>2</v>
      </c>
      <c r="V90" s="59">
        <v>30000000000</v>
      </c>
      <c r="W90" s="60"/>
      <c r="X90" s="60"/>
      <c r="Y90" s="60"/>
      <c r="Z90" s="60"/>
      <c r="AA90" s="61"/>
      <c r="AB90" s="62">
        <v>100000000</v>
      </c>
      <c r="AC90" s="60"/>
      <c r="AD90" s="60"/>
      <c r="AE90" s="60"/>
      <c r="AF90" s="60"/>
      <c r="AG90" s="60"/>
      <c r="AH90" s="63"/>
      <c r="AI90" s="62">
        <v>100000000</v>
      </c>
      <c r="AJ90" s="60"/>
      <c r="AK90" s="60"/>
      <c r="AL90" s="60"/>
      <c r="AM90" s="60"/>
      <c r="AN90" s="60"/>
      <c r="AO90" s="63"/>
      <c r="AP90" s="62">
        <v>100000000</v>
      </c>
      <c r="AQ90" s="60"/>
      <c r="AR90" s="60"/>
      <c r="AS90" s="60"/>
      <c r="AT90" s="60"/>
      <c r="AU90" s="60"/>
      <c r="AV90" s="64"/>
      <c r="AW90" s="55">
        <f t="shared" si="6"/>
        <v>30000000000</v>
      </c>
      <c r="AX90" s="55">
        <f t="shared" si="7"/>
        <v>100000000</v>
      </c>
      <c r="AY90" s="55">
        <f t="shared" si="8"/>
        <v>100000000</v>
      </c>
      <c r="AZ90" s="55">
        <f t="shared" si="9"/>
        <v>100000000</v>
      </c>
      <c r="BA90" s="55">
        <f t="shared" si="10"/>
        <v>30300000000</v>
      </c>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row>
    <row r="91" spans="1:133" s="18" customFormat="1" ht="362.25" x14ac:dyDescent="0.25">
      <c r="A91" s="148" t="s">
        <v>28</v>
      </c>
      <c r="B91" s="110" t="s">
        <v>158</v>
      </c>
      <c r="C91" s="56" t="s">
        <v>196</v>
      </c>
      <c r="D91" s="56" t="s">
        <v>197</v>
      </c>
      <c r="E91" s="144" t="s">
        <v>198</v>
      </c>
      <c r="F91" s="144" t="s">
        <v>199</v>
      </c>
      <c r="G91" s="108" t="s">
        <v>221</v>
      </c>
      <c r="H91" s="108" t="s">
        <v>1230</v>
      </c>
      <c r="I91" s="108" t="s">
        <v>222</v>
      </c>
      <c r="J91" s="108" t="s">
        <v>1693</v>
      </c>
      <c r="K91" s="178">
        <v>60000</v>
      </c>
      <c r="L91" s="178">
        <v>60000</v>
      </c>
      <c r="M91" s="103" t="s">
        <v>1140</v>
      </c>
      <c r="N91" s="108" t="s">
        <v>214</v>
      </c>
      <c r="O91" s="54" t="s">
        <v>215</v>
      </c>
      <c r="P91" s="67" t="s">
        <v>42</v>
      </c>
      <c r="Q91" s="54" t="s">
        <v>1679</v>
      </c>
      <c r="R91" s="182">
        <v>60000</v>
      </c>
      <c r="S91" s="178">
        <v>60000</v>
      </c>
      <c r="T91" s="178">
        <v>60000</v>
      </c>
      <c r="U91" s="183">
        <v>60000</v>
      </c>
      <c r="V91" s="59">
        <v>49000000000</v>
      </c>
      <c r="W91" s="60"/>
      <c r="X91" s="60"/>
      <c r="Y91" s="60"/>
      <c r="Z91" s="60"/>
      <c r="AA91" s="61"/>
      <c r="AB91" s="62">
        <v>10003000000</v>
      </c>
      <c r="AC91" s="60"/>
      <c r="AD91" s="60"/>
      <c r="AE91" s="60"/>
      <c r="AF91" s="60"/>
      <c r="AG91" s="60"/>
      <c r="AH91" s="63"/>
      <c r="AI91" s="62">
        <v>10094000000</v>
      </c>
      <c r="AJ91" s="60"/>
      <c r="AK91" s="60"/>
      <c r="AL91" s="60"/>
      <c r="AM91" s="60"/>
      <c r="AN91" s="60"/>
      <c r="AO91" s="63"/>
      <c r="AP91" s="62">
        <v>21247000000</v>
      </c>
      <c r="AQ91" s="60"/>
      <c r="AR91" s="60"/>
      <c r="AS91" s="60"/>
      <c r="AT91" s="60"/>
      <c r="AU91" s="60"/>
      <c r="AV91" s="64"/>
      <c r="AW91" s="55">
        <f t="shared" si="6"/>
        <v>49000000000</v>
      </c>
      <c r="AX91" s="55">
        <f t="shared" si="7"/>
        <v>10003000000</v>
      </c>
      <c r="AY91" s="55">
        <f t="shared" si="8"/>
        <v>10094000000</v>
      </c>
      <c r="AZ91" s="55">
        <f t="shared" si="9"/>
        <v>21247000000</v>
      </c>
      <c r="BA91" s="55">
        <f t="shared" si="10"/>
        <v>90344000000</v>
      </c>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row>
    <row r="92" spans="1:133" s="17" customFormat="1" ht="362.25" x14ac:dyDescent="0.25">
      <c r="A92" s="148" t="s">
        <v>28</v>
      </c>
      <c r="B92" s="110" t="s">
        <v>158</v>
      </c>
      <c r="C92" s="56" t="s">
        <v>196</v>
      </c>
      <c r="D92" s="56" t="s">
        <v>197</v>
      </c>
      <c r="E92" s="144" t="s">
        <v>198</v>
      </c>
      <c r="F92" s="144" t="s">
        <v>199</v>
      </c>
      <c r="G92" s="108" t="s">
        <v>224</v>
      </c>
      <c r="H92" s="108" t="s">
        <v>1231</v>
      </c>
      <c r="I92" s="108" t="s">
        <v>225</v>
      </c>
      <c r="J92" s="108" t="s">
        <v>1694</v>
      </c>
      <c r="K92" s="178">
        <v>4</v>
      </c>
      <c r="L92" s="178">
        <v>2</v>
      </c>
      <c r="M92" s="108" t="s">
        <v>1140</v>
      </c>
      <c r="N92" s="108" t="s">
        <v>214</v>
      </c>
      <c r="O92" s="54" t="s">
        <v>215</v>
      </c>
      <c r="P92" s="72" t="s">
        <v>39</v>
      </c>
      <c r="Q92" s="167" t="s">
        <v>1680</v>
      </c>
      <c r="R92" s="182">
        <v>0</v>
      </c>
      <c r="S92" s="178">
        <v>0</v>
      </c>
      <c r="T92" s="178">
        <v>1</v>
      </c>
      <c r="U92" s="183">
        <v>1</v>
      </c>
      <c r="V92" s="59"/>
      <c r="W92" s="60"/>
      <c r="X92" s="60"/>
      <c r="Y92" s="60"/>
      <c r="Z92" s="60"/>
      <c r="AA92" s="61"/>
      <c r="AB92" s="62"/>
      <c r="AC92" s="60"/>
      <c r="AD92" s="60">
        <v>1500000000</v>
      </c>
      <c r="AE92" s="60"/>
      <c r="AF92" s="60"/>
      <c r="AG92" s="60"/>
      <c r="AH92" s="63"/>
      <c r="AI92" s="62"/>
      <c r="AJ92" s="60"/>
      <c r="AK92" s="60">
        <v>1500000000</v>
      </c>
      <c r="AL92" s="60"/>
      <c r="AM92" s="60"/>
      <c r="AN92" s="60"/>
      <c r="AO92" s="63"/>
      <c r="AP92" s="62"/>
      <c r="AQ92" s="60"/>
      <c r="AR92" s="60"/>
      <c r="AS92" s="60"/>
      <c r="AT92" s="60"/>
      <c r="AU92" s="60"/>
      <c r="AV92" s="64"/>
      <c r="AW92" s="55">
        <f t="shared" si="6"/>
        <v>0</v>
      </c>
      <c r="AX92" s="55">
        <f t="shared" si="7"/>
        <v>1500000000</v>
      </c>
      <c r="AY92" s="55">
        <f t="shared" si="8"/>
        <v>1500000000</v>
      </c>
      <c r="AZ92" s="55">
        <f t="shared" si="9"/>
        <v>0</v>
      </c>
      <c r="BA92" s="55">
        <f t="shared" si="10"/>
        <v>3000000000</v>
      </c>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row>
    <row r="93" spans="1:133" s="18" customFormat="1" ht="362.25" x14ac:dyDescent="0.25">
      <c r="A93" s="148" t="s">
        <v>28</v>
      </c>
      <c r="B93" s="110" t="s">
        <v>158</v>
      </c>
      <c r="C93" s="56" t="s">
        <v>196</v>
      </c>
      <c r="D93" s="56" t="s">
        <v>197</v>
      </c>
      <c r="E93" s="144" t="s">
        <v>198</v>
      </c>
      <c r="F93" s="144" t="s">
        <v>199</v>
      </c>
      <c r="G93" s="108" t="s">
        <v>226</v>
      </c>
      <c r="H93" s="108" t="s">
        <v>1232</v>
      </c>
      <c r="I93" s="108" t="s">
        <v>227</v>
      </c>
      <c r="J93" s="108" t="s">
        <v>1682</v>
      </c>
      <c r="K93" s="178">
        <v>100</v>
      </c>
      <c r="L93" s="179">
        <v>100</v>
      </c>
      <c r="M93" s="100" t="s">
        <v>228</v>
      </c>
      <c r="N93" s="100" t="s">
        <v>203</v>
      </c>
      <c r="O93" s="54" t="s">
        <v>204</v>
      </c>
      <c r="P93" s="67" t="s">
        <v>42</v>
      </c>
      <c r="Q93" s="54" t="s">
        <v>1679</v>
      </c>
      <c r="R93" s="182">
        <v>100</v>
      </c>
      <c r="S93" s="178">
        <v>100</v>
      </c>
      <c r="T93" s="178">
        <v>100</v>
      </c>
      <c r="U93" s="183">
        <v>100</v>
      </c>
      <c r="V93" s="59">
        <v>96786000000</v>
      </c>
      <c r="W93" s="60">
        <v>4487000000</v>
      </c>
      <c r="X93" s="60"/>
      <c r="Y93" s="60"/>
      <c r="Z93" s="60">
        <v>6109000000</v>
      </c>
      <c r="AA93" s="61"/>
      <c r="AB93" s="62">
        <v>90324000000</v>
      </c>
      <c r="AC93" s="60">
        <v>4686000000</v>
      </c>
      <c r="AD93" s="60"/>
      <c r="AE93" s="60"/>
      <c r="AF93" s="60"/>
      <c r="AG93" s="60"/>
      <c r="AH93" s="63"/>
      <c r="AI93" s="62">
        <v>62304000000</v>
      </c>
      <c r="AJ93" s="60">
        <v>3893000000</v>
      </c>
      <c r="AK93" s="60"/>
      <c r="AL93" s="60"/>
      <c r="AM93" s="60"/>
      <c r="AN93" s="60"/>
      <c r="AO93" s="63"/>
      <c r="AP93" s="62">
        <v>85374000000</v>
      </c>
      <c r="AQ93" s="60">
        <v>5109000000</v>
      </c>
      <c r="AR93" s="60"/>
      <c r="AS93" s="60"/>
      <c r="AT93" s="60"/>
      <c r="AU93" s="60"/>
      <c r="AV93" s="64"/>
      <c r="AW93" s="55">
        <f t="shared" si="6"/>
        <v>107382000000</v>
      </c>
      <c r="AX93" s="55">
        <f t="shared" si="7"/>
        <v>95010000000</v>
      </c>
      <c r="AY93" s="55">
        <f t="shared" si="8"/>
        <v>66197000000</v>
      </c>
      <c r="AZ93" s="55">
        <f t="shared" si="9"/>
        <v>90483000000</v>
      </c>
      <c r="BA93" s="55">
        <f t="shared" si="10"/>
        <v>359072000000</v>
      </c>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row>
    <row r="94" spans="1:133" s="11" customFormat="1" ht="299.25" x14ac:dyDescent="0.25">
      <c r="A94" s="148" t="s">
        <v>28</v>
      </c>
      <c r="B94" s="56" t="s">
        <v>229</v>
      </c>
      <c r="C94" s="56" t="s">
        <v>230</v>
      </c>
      <c r="D94" s="56" t="s">
        <v>231</v>
      </c>
      <c r="E94" s="57">
        <v>0.05</v>
      </c>
      <c r="F94" s="57">
        <v>3.7499999999999999E-2</v>
      </c>
      <c r="G94" s="108" t="s">
        <v>232</v>
      </c>
      <c r="H94" s="108" t="s">
        <v>1233</v>
      </c>
      <c r="I94" s="108" t="s">
        <v>233</v>
      </c>
      <c r="J94" s="108" t="s">
        <v>1683</v>
      </c>
      <c r="K94" s="178">
        <v>51462</v>
      </c>
      <c r="L94" s="178">
        <v>53500</v>
      </c>
      <c r="M94" s="54" t="s">
        <v>234</v>
      </c>
      <c r="N94" s="100" t="s">
        <v>235</v>
      </c>
      <c r="O94" s="54" t="s">
        <v>236</v>
      </c>
      <c r="P94" s="67" t="s">
        <v>1677</v>
      </c>
      <c r="Q94" s="166" t="s">
        <v>1679</v>
      </c>
      <c r="R94" s="182">
        <v>51800</v>
      </c>
      <c r="S94" s="178">
        <v>52325</v>
      </c>
      <c r="T94" s="178">
        <v>52850</v>
      </c>
      <c r="U94" s="183">
        <v>53500</v>
      </c>
      <c r="V94" s="59">
        <v>20944133620</v>
      </c>
      <c r="W94" s="60"/>
      <c r="X94" s="60">
        <v>64552842663</v>
      </c>
      <c r="Y94" s="60"/>
      <c r="Z94" s="60"/>
      <c r="AA94" s="61"/>
      <c r="AB94" s="62">
        <f>(30269133620*4%)+V94</f>
        <v>22154898964.799999</v>
      </c>
      <c r="AC94" s="60"/>
      <c r="AD94" s="60">
        <v>60134956369.519997</v>
      </c>
      <c r="AE94" s="60"/>
      <c r="AF94" s="60"/>
      <c r="AG94" s="60"/>
      <c r="AH94" s="63"/>
      <c r="AI94" s="62">
        <f>(AB94*4%)+AB94</f>
        <v>23041094923.391998</v>
      </c>
      <c r="AJ94" s="60"/>
      <c r="AK94" s="60">
        <v>39820354624.300797</v>
      </c>
      <c r="AL94" s="60"/>
      <c r="AM94" s="60"/>
      <c r="AN94" s="60"/>
      <c r="AO94" s="63"/>
      <c r="AP94" s="62">
        <f>(AI94*4%)+AI94</f>
        <v>23962738720.327679</v>
      </c>
      <c r="AQ94" s="60"/>
      <c r="AR94" s="60"/>
      <c r="AS94" s="60">
        <v>50613168809.272797</v>
      </c>
      <c r="AT94" s="60"/>
      <c r="AU94" s="60"/>
      <c r="AV94" s="64"/>
      <c r="AW94" s="55">
        <f t="shared" si="6"/>
        <v>85496976283</v>
      </c>
      <c r="AX94" s="55">
        <f t="shared" si="7"/>
        <v>82289855334.319992</v>
      </c>
      <c r="AY94" s="55">
        <f t="shared" si="8"/>
        <v>62861449547.692795</v>
      </c>
      <c r="AZ94" s="55">
        <f t="shared" si="9"/>
        <v>74575907529.600479</v>
      </c>
      <c r="BA94" s="55">
        <f t="shared" si="10"/>
        <v>305224188694.61328</v>
      </c>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row>
    <row r="95" spans="1:133" s="3" customFormat="1" ht="94.5" x14ac:dyDescent="0.25">
      <c r="A95" s="148" t="s">
        <v>28</v>
      </c>
      <c r="B95" s="56" t="s">
        <v>229</v>
      </c>
      <c r="C95" s="56" t="s">
        <v>230</v>
      </c>
      <c r="D95" s="56" t="s">
        <v>231</v>
      </c>
      <c r="E95" s="57">
        <v>0.05</v>
      </c>
      <c r="F95" s="57">
        <v>3.7499999999999999E-2</v>
      </c>
      <c r="G95" s="66" t="s">
        <v>237</v>
      </c>
      <c r="H95" s="66" t="s">
        <v>1234</v>
      </c>
      <c r="I95" s="108" t="s">
        <v>238</v>
      </c>
      <c r="J95" s="108" t="s">
        <v>1682</v>
      </c>
      <c r="K95" s="178">
        <v>0</v>
      </c>
      <c r="L95" s="179">
        <v>100</v>
      </c>
      <c r="M95" s="54" t="s">
        <v>234</v>
      </c>
      <c r="N95" s="100" t="s">
        <v>235</v>
      </c>
      <c r="O95" s="54" t="s">
        <v>236</v>
      </c>
      <c r="P95" s="67" t="s">
        <v>39</v>
      </c>
      <c r="Q95" s="166" t="s">
        <v>1680</v>
      </c>
      <c r="R95" s="182">
        <v>20</v>
      </c>
      <c r="S95" s="178">
        <v>20</v>
      </c>
      <c r="T95" s="178">
        <v>30</v>
      </c>
      <c r="U95" s="183">
        <v>30</v>
      </c>
      <c r="V95" s="59">
        <v>250000000</v>
      </c>
      <c r="W95" s="60"/>
      <c r="X95" s="60"/>
      <c r="Y95" s="60"/>
      <c r="Z95" s="60"/>
      <c r="AA95" s="61"/>
      <c r="AB95" s="62">
        <f>((62000000*4%)+620000000)/2</f>
        <v>311240000</v>
      </c>
      <c r="AC95" s="60"/>
      <c r="AD95" s="60"/>
      <c r="AE95" s="60"/>
      <c r="AF95" s="60"/>
      <c r="AG95" s="60"/>
      <c r="AH95" s="63"/>
      <c r="AI95" s="62">
        <f>((650000000*4%)+650000000)/2</f>
        <v>338000000</v>
      </c>
      <c r="AJ95" s="60"/>
      <c r="AK95" s="60"/>
      <c r="AL95" s="60"/>
      <c r="AM95" s="60"/>
      <c r="AN95" s="60"/>
      <c r="AO95" s="63"/>
      <c r="AP95" s="62">
        <f>((650000000*4%)+650000000)/2</f>
        <v>338000000</v>
      </c>
      <c r="AQ95" s="60"/>
      <c r="AR95" s="60"/>
      <c r="AS95" s="60"/>
      <c r="AT95" s="60"/>
      <c r="AU95" s="60"/>
      <c r="AV95" s="64"/>
      <c r="AW95" s="55">
        <f t="shared" si="6"/>
        <v>250000000</v>
      </c>
      <c r="AX95" s="55">
        <f t="shared" si="7"/>
        <v>311240000</v>
      </c>
      <c r="AY95" s="55">
        <f t="shared" si="8"/>
        <v>338000000</v>
      </c>
      <c r="AZ95" s="55">
        <f t="shared" si="9"/>
        <v>338000000</v>
      </c>
      <c r="BA95" s="55">
        <f t="shared" si="10"/>
        <v>1237240000</v>
      </c>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row>
    <row r="96" spans="1:133" s="17" customFormat="1" ht="126" x14ac:dyDescent="0.25">
      <c r="A96" s="148" t="s">
        <v>28</v>
      </c>
      <c r="B96" s="56" t="s">
        <v>229</v>
      </c>
      <c r="C96" s="56" t="s">
        <v>230</v>
      </c>
      <c r="D96" s="56" t="s">
        <v>231</v>
      </c>
      <c r="E96" s="57">
        <v>0.05</v>
      </c>
      <c r="F96" s="57">
        <v>3.7499999999999999E-2</v>
      </c>
      <c r="G96" s="66" t="s">
        <v>237</v>
      </c>
      <c r="H96" s="66" t="s">
        <v>1235</v>
      </c>
      <c r="I96" s="82" t="s">
        <v>239</v>
      </c>
      <c r="J96" s="82" t="s">
        <v>1685</v>
      </c>
      <c r="K96" s="178">
        <v>0</v>
      </c>
      <c r="L96" s="178">
        <v>10</v>
      </c>
      <c r="M96" s="54" t="s">
        <v>234</v>
      </c>
      <c r="N96" s="100" t="s">
        <v>235</v>
      </c>
      <c r="O96" s="54" t="s">
        <v>236</v>
      </c>
      <c r="P96" s="72" t="s">
        <v>39</v>
      </c>
      <c r="Q96" s="167" t="s">
        <v>1680</v>
      </c>
      <c r="R96" s="182">
        <v>2</v>
      </c>
      <c r="S96" s="178">
        <v>3</v>
      </c>
      <c r="T96" s="178">
        <v>3</v>
      </c>
      <c r="U96" s="183">
        <v>2</v>
      </c>
      <c r="V96" s="59">
        <v>250000000</v>
      </c>
      <c r="W96" s="60"/>
      <c r="X96" s="60"/>
      <c r="Y96" s="60"/>
      <c r="Z96" s="60"/>
      <c r="AA96" s="61"/>
      <c r="AB96" s="62">
        <v>311240000</v>
      </c>
      <c r="AC96" s="60"/>
      <c r="AD96" s="60"/>
      <c r="AE96" s="60"/>
      <c r="AF96" s="60"/>
      <c r="AG96" s="60"/>
      <c r="AH96" s="63"/>
      <c r="AI96" s="62">
        <f>((650000000*4%)+650000000)/2</f>
        <v>338000000</v>
      </c>
      <c r="AJ96" s="60"/>
      <c r="AK96" s="60"/>
      <c r="AL96" s="60"/>
      <c r="AM96" s="60"/>
      <c r="AN96" s="60"/>
      <c r="AO96" s="63"/>
      <c r="AP96" s="62">
        <v>338000000</v>
      </c>
      <c r="AQ96" s="60"/>
      <c r="AR96" s="60"/>
      <c r="AS96" s="60"/>
      <c r="AT96" s="60"/>
      <c r="AU96" s="60"/>
      <c r="AV96" s="64"/>
      <c r="AW96" s="55">
        <f t="shared" si="6"/>
        <v>250000000</v>
      </c>
      <c r="AX96" s="55">
        <f t="shared" si="7"/>
        <v>311240000</v>
      </c>
      <c r="AY96" s="55">
        <f t="shared" si="8"/>
        <v>338000000</v>
      </c>
      <c r="AZ96" s="55">
        <f t="shared" si="9"/>
        <v>338000000</v>
      </c>
      <c r="BA96" s="55">
        <f t="shared" si="10"/>
        <v>1237240000</v>
      </c>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row>
    <row r="97" spans="1:133" s="26" customFormat="1" ht="94.5" x14ac:dyDescent="0.25">
      <c r="A97" s="148" t="s">
        <v>28</v>
      </c>
      <c r="B97" s="56" t="s">
        <v>229</v>
      </c>
      <c r="C97" s="56" t="s">
        <v>230</v>
      </c>
      <c r="D97" s="56" t="s">
        <v>231</v>
      </c>
      <c r="E97" s="57">
        <v>0.05</v>
      </c>
      <c r="F97" s="57">
        <v>3.7499999999999999E-2</v>
      </c>
      <c r="G97" s="108" t="s">
        <v>240</v>
      </c>
      <c r="H97" s="108" t="s">
        <v>1236</v>
      </c>
      <c r="I97" s="108" t="s">
        <v>241</v>
      </c>
      <c r="J97" s="108" t="s">
        <v>1683</v>
      </c>
      <c r="K97" s="181">
        <v>9</v>
      </c>
      <c r="L97" s="181">
        <v>11</v>
      </c>
      <c r="M97" s="54" t="s">
        <v>234</v>
      </c>
      <c r="N97" s="100" t="s">
        <v>235</v>
      </c>
      <c r="O97" s="54" t="s">
        <v>236</v>
      </c>
      <c r="P97" s="72" t="s">
        <v>1677</v>
      </c>
      <c r="Q97" s="167" t="s">
        <v>1680</v>
      </c>
      <c r="R97" s="182">
        <v>0</v>
      </c>
      <c r="S97" s="178">
        <v>1</v>
      </c>
      <c r="T97" s="178">
        <v>1</v>
      </c>
      <c r="U97" s="183">
        <v>0</v>
      </c>
      <c r="V97" s="59"/>
      <c r="W97" s="60"/>
      <c r="X97" s="60"/>
      <c r="Y97" s="60"/>
      <c r="Z97" s="60"/>
      <c r="AA97" s="61"/>
      <c r="AB97" s="62">
        <f>3000800000+955000000</f>
        <v>3955800000</v>
      </c>
      <c r="AC97" s="60"/>
      <c r="AD97" s="60"/>
      <c r="AE97" s="60"/>
      <c r="AF97" s="60"/>
      <c r="AG97" s="60"/>
      <c r="AH97" s="63"/>
      <c r="AI97" s="62">
        <v>2114032000</v>
      </c>
      <c r="AJ97" s="60"/>
      <c r="AK97" s="60"/>
      <c r="AL97" s="60"/>
      <c r="AM97" s="60"/>
      <c r="AN97" s="60"/>
      <c r="AO97" s="63"/>
      <c r="AP97" s="62">
        <v>0</v>
      </c>
      <c r="AQ97" s="60"/>
      <c r="AR97" s="60"/>
      <c r="AS97" s="60"/>
      <c r="AT97" s="60"/>
      <c r="AU97" s="60"/>
      <c r="AV97" s="64"/>
      <c r="AW97" s="55">
        <f t="shared" si="6"/>
        <v>0</v>
      </c>
      <c r="AX97" s="55">
        <f t="shared" si="7"/>
        <v>3955800000</v>
      </c>
      <c r="AY97" s="55">
        <f t="shared" si="8"/>
        <v>2114032000</v>
      </c>
      <c r="AZ97" s="55">
        <f t="shared" si="9"/>
        <v>0</v>
      </c>
      <c r="BA97" s="55">
        <f t="shared" si="10"/>
        <v>6069832000</v>
      </c>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row>
    <row r="98" spans="1:133" s="19" customFormat="1" ht="94.5" x14ac:dyDescent="0.25">
      <c r="A98" s="148" t="s">
        <v>28</v>
      </c>
      <c r="B98" s="56" t="s">
        <v>229</v>
      </c>
      <c r="C98" s="56" t="s">
        <v>242</v>
      </c>
      <c r="D98" s="56" t="s">
        <v>231</v>
      </c>
      <c r="E98" s="57">
        <v>0.05</v>
      </c>
      <c r="F98" s="57">
        <v>3.7499999999999999E-2</v>
      </c>
      <c r="G98" s="66" t="s">
        <v>243</v>
      </c>
      <c r="H98" s="66" t="s">
        <v>1237</v>
      </c>
      <c r="I98" s="108" t="s">
        <v>244</v>
      </c>
      <c r="J98" s="108" t="s">
        <v>1683</v>
      </c>
      <c r="K98" s="178" t="s">
        <v>90</v>
      </c>
      <c r="L98" s="178">
        <v>1</v>
      </c>
      <c r="M98" s="54" t="s">
        <v>234</v>
      </c>
      <c r="N98" s="100" t="s">
        <v>235</v>
      </c>
      <c r="O98" s="54" t="s">
        <v>236</v>
      </c>
      <c r="P98" s="67" t="s">
        <v>42</v>
      </c>
      <c r="Q98" s="54" t="s">
        <v>1679</v>
      </c>
      <c r="R98" s="182">
        <v>1</v>
      </c>
      <c r="S98" s="178">
        <v>1</v>
      </c>
      <c r="T98" s="178">
        <v>1</v>
      </c>
      <c r="U98" s="183">
        <v>1</v>
      </c>
      <c r="V98" s="59">
        <f>799120000/2</f>
        <v>399560000</v>
      </c>
      <c r="W98" s="60"/>
      <c r="X98" s="60"/>
      <c r="Y98" s="60"/>
      <c r="Z98" s="60"/>
      <c r="AA98" s="61"/>
      <c r="AB98" s="62">
        <f>((875000000*4%)+V98)/2</f>
        <v>217280000</v>
      </c>
      <c r="AC98" s="60"/>
      <c r="AD98" s="60"/>
      <c r="AE98" s="60"/>
      <c r="AF98" s="60"/>
      <c r="AG98" s="60"/>
      <c r="AH98" s="63"/>
      <c r="AI98" s="62">
        <f>(875000000*4%)+AB98</f>
        <v>252280000</v>
      </c>
      <c r="AJ98" s="60"/>
      <c r="AK98" s="60"/>
      <c r="AL98" s="60"/>
      <c r="AM98" s="60"/>
      <c r="AN98" s="60"/>
      <c r="AO98" s="63"/>
      <c r="AP98" s="62">
        <v>680000000</v>
      </c>
      <c r="AQ98" s="60"/>
      <c r="AR98" s="60"/>
      <c r="AS98" s="60"/>
      <c r="AT98" s="60"/>
      <c r="AU98" s="60"/>
      <c r="AV98" s="64"/>
      <c r="AW98" s="55">
        <f t="shared" si="6"/>
        <v>399560000</v>
      </c>
      <c r="AX98" s="55">
        <f t="shared" si="7"/>
        <v>217280000</v>
      </c>
      <c r="AY98" s="55">
        <f t="shared" si="8"/>
        <v>252280000</v>
      </c>
      <c r="AZ98" s="55">
        <f t="shared" si="9"/>
        <v>680000000</v>
      </c>
      <c r="BA98" s="55">
        <f t="shared" si="10"/>
        <v>1549120000</v>
      </c>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row>
    <row r="99" spans="1:133" s="16" customFormat="1" ht="94.5" x14ac:dyDescent="0.25">
      <c r="A99" s="148" t="s">
        <v>28</v>
      </c>
      <c r="B99" s="56" t="s">
        <v>229</v>
      </c>
      <c r="C99" s="56" t="s">
        <v>242</v>
      </c>
      <c r="D99" s="56" t="s">
        <v>231</v>
      </c>
      <c r="E99" s="57">
        <v>0.05</v>
      </c>
      <c r="F99" s="57">
        <v>3.7499999999999999E-2</v>
      </c>
      <c r="G99" s="66" t="s">
        <v>243</v>
      </c>
      <c r="H99" s="66" t="s">
        <v>1238</v>
      </c>
      <c r="I99" s="108" t="s">
        <v>245</v>
      </c>
      <c r="J99" s="108" t="s">
        <v>1682</v>
      </c>
      <c r="K99" s="178" t="s">
        <v>90</v>
      </c>
      <c r="L99" s="179">
        <v>30</v>
      </c>
      <c r="M99" s="54" t="s">
        <v>234</v>
      </c>
      <c r="N99" s="100" t="s">
        <v>235</v>
      </c>
      <c r="O99" s="54" t="s">
        <v>236</v>
      </c>
      <c r="P99" s="72" t="s">
        <v>39</v>
      </c>
      <c r="Q99" s="167" t="s">
        <v>1680</v>
      </c>
      <c r="R99" s="182">
        <v>0</v>
      </c>
      <c r="S99" s="178">
        <v>15</v>
      </c>
      <c r="T99" s="178">
        <v>15</v>
      </c>
      <c r="U99" s="183">
        <v>0</v>
      </c>
      <c r="V99" s="59"/>
      <c r="W99" s="60"/>
      <c r="X99" s="60"/>
      <c r="Y99" s="60"/>
      <c r="Z99" s="60"/>
      <c r="AA99" s="61"/>
      <c r="AB99" s="62">
        <v>217280000</v>
      </c>
      <c r="AC99" s="60"/>
      <c r="AD99" s="60"/>
      <c r="AE99" s="60"/>
      <c r="AF99" s="60"/>
      <c r="AG99" s="60"/>
      <c r="AH99" s="63"/>
      <c r="AI99" s="62">
        <f>(875000000*4%)+AB99</f>
        <v>252280000</v>
      </c>
      <c r="AJ99" s="60"/>
      <c r="AK99" s="60"/>
      <c r="AL99" s="60"/>
      <c r="AM99" s="60"/>
      <c r="AN99" s="60"/>
      <c r="AO99" s="63"/>
      <c r="AP99" s="62"/>
      <c r="AQ99" s="60"/>
      <c r="AR99" s="60"/>
      <c r="AS99" s="60"/>
      <c r="AT99" s="60"/>
      <c r="AU99" s="60"/>
      <c r="AV99" s="64"/>
      <c r="AW99" s="55">
        <f t="shared" si="6"/>
        <v>0</v>
      </c>
      <c r="AX99" s="55">
        <f t="shared" si="7"/>
        <v>217280000</v>
      </c>
      <c r="AY99" s="55">
        <f t="shared" si="8"/>
        <v>252280000</v>
      </c>
      <c r="AZ99" s="55">
        <f t="shared" si="9"/>
        <v>0</v>
      </c>
      <c r="BA99" s="55">
        <f t="shared" si="10"/>
        <v>469560000</v>
      </c>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row>
    <row r="100" spans="1:133" s="12" customFormat="1" ht="173.25" x14ac:dyDescent="0.25">
      <c r="A100" s="148" t="s">
        <v>28</v>
      </c>
      <c r="B100" s="56" t="s">
        <v>229</v>
      </c>
      <c r="C100" s="56" t="s">
        <v>242</v>
      </c>
      <c r="D100" s="56" t="s">
        <v>231</v>
      </c>
      <c r="E100" s="57">
        <v>0.05</v>
      </c>
      <c r="F100" s="57">
        <v>3.7499999999999999E-2</v>
      </c>
      <c r="G100" s="108" t="s">
        <v>246</v>
      </c>
      <c r="H100" s="108" t="s">
        <v>1239</v>
      </c>
      <c r="I100" s="108" t="s">
        <v>247</v>
      </c>
      <c r="J100" s="108" t="s">
        <v>1682</v>
      </c>
      <c r="K100" s="178">
        <v>100</v>
      </c>
      <c r="L100" s="179">
        <v>100</v>
      </c>
      <c r="M100" s="54" t="s">
        <v>234</v>
      </c>
      <c r="N100" s="100" t="s">
        <v>235</v>
      </c>
      <c r="O100" s="54" t="s">
        <v>236</v>
      </c>
      <c r="P100" s="67" t="s">
        <v>42</v>
      </c>
      <c r="Q100" s="54" t="s">
        <v>1679</v>
      </c>
      <c r="R100" s="182">
        <v>100</v>
      </c>
      <c r="S100" s="178">
        <v>100</v>
      </c>
      <c r="T100" s="178">
        <v>100</v>
      </c>
      <c r="U100" s="183">
        <v>100</v>
      </c>
      <c r="V100" s="59">
        <v>399560000</v>
      </c>
      <c r="W100" s="60"/>
      <c r="X100" s="60"/>
      <c r="Y100" s="60"/>
      <c r="Z100" s="60"/>
      <c r="AA100" s="61"/>
      <c r="AB100" s="62">
        <f>(875000000*4%)+V100</f>
        <v>434560000</v>
      </c>
      <c r="AC100" s="60"/>
      <c r="AD100" s="60"/>
      <c r="AE100" s="60"/>
      <c r="AF100" s="60"/>
      <c r="AG100" s="60"/>
      <c r="AH100" s="63"/>
      <c r="AI100" s="62">
        <f>(875000000*4%)+AB100</f>
        <v>469560000</v>
      </c>
      <c r="AJ100" s="60"/>
      <c r="AK100" s="60"/>
      <c r="AL100" s="60"/>
      <c r="AM100" s="60"/>
      <c r="AN100" s="60"/>
      <c r="AO100" s="63"/>
      <c r="AP100" s="62">
        <v>680000000</v>
      </c>
      <c r="AQ100" s="60"/>
      <c r="AR100" s="60"/>
      <c r="AS100" s="60"/>
      <c r="AT100" s="60"/>
      <c r="AU100" s="60"/>
      <c r="AV100" s="64"/>
      <c r="AW100" s="55">
        <f t="shared" si="6"/>
        <v>399560000</v>
      </c>
      <c r="AX100" s="55">
        <f t="shared" si="7"/>
        <v>434560000</v>
      </c>
      <c r="AY100" s="55">
        <f t="shared" si="8"/>
        <v>469560000</v>
      </c>
      <c r="AZ100" s="55">
        <f t="shared" si="9"/>
        <v>680000000</v>
      </c>
      <c r="BA100" s="55">
        <f t="shared" si="10"/>
        <v>1983680000</v>
      </c>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row>
    <row r="101" spans="1:133" s="3" customFormat="1" ht="126" x14ac:dyDescent="0.25">
      <c r="A101" s="148" t="s">
        <v>28</v>
      </c>
      <c r="B101" s="56" t="s">
        <v>229</v>
      </c>
      <c r="C101" s="56" t="s">
        <v>242</v>
      </c>
      <c r="D101" s="56" t="s">
        <v>231</v>
      </c>
      <c r="E101" s="57">
        <v>0.05</v>
      </c>
      <c r="F101" s="57">
        <v>3.7499999999999999E-2</v>
      </c>
      <c r="G101" s="108" t="s">
        <v>248</v>
      </c>
      <c r="H101" s="108" t="s">
        <v>1240</v>
      </c>
      <c r="I101" s="108" t="s">
        <v>249</v>
      </c>
      <c r="J101" s="108" t="s">
        <v>1682</v>
      </c>
      <c r="K101" s="178">
        <v>100</v>
      </c>
      <c r="L101" s="179">
        <v>100</v>
      </c>
      <c r="M101" s="54" t="s">
        <v>234</v>
      </c>
      <c r="N101" s="100" t="s">
        <v>235</v>
      </c>
      <c r="O101" s="54" t="s">
        <v>236</v>
      </c>
      <c r="P101" s="67" t="s">
        <v>42</v>
      </c>
      <c r="Q101" s="54" t="s">
        <v>1679</v>
      </c>
      <c r="R101" s="182">
        <v>100</v>
      </c>
      <c r="S101" s="178">
        <v>100</v>
      </c>
      <c r="T101" s="178">
        <v>100</v>
      </c>
      <c r="U101" s="183">
        <v>100</v>
      </c>
      <c r="V101" s="59">
        <f>1316378030-350000000</f>
        <v>966378030</v>
      </c>
      <c r="W101" s="60"/>
      <c r="X101" s="60"/>
      <c r="Y101" s="60"/>
      <c r="Z101" s="60"/>
      <c r="AA101" s="61"/>
      <c r="AB101" s="62">
        <f>((V101*4%)+V101)</f>
        <v>1005033151.2</v>
      </c>
      <c r="AC101" s="60"/>
      <c r="AD101" s="60"/>
      <c r="AE101" s="60"/>
      <c r="AF101" s="60"/>
      <c r="AG101" s="60"/>
      <c r="AH101" s="63"/>
      <c r="AI101" s="62">
        <f>((AB101*4%)+AB101)</f>
        <v>1045234477.248</v>
      </c>
      <c r="AJ101" s="60"/>
      <c r="AK101" s="60"/>
      <c r="AL101" s="60"/>
      <c r="AM101" s="60"/>
      <c r="AN101" s="60"/>
      <c r="AO101" s="63"/>
      <c r="AP101" s="62">
        <v>1087043856.33792</v>
      </c>
      <c r="AQ101" s="60"/>
      <c r="AR101" s="60"/>
      <c r="AS101" s="60"/>
      <c r="AT101" s="60"/>
      <c r="AU101" s="60"/>
      <c r="AV101" s="64"/>
      <c r="AW101" s="55">
        <f t="shared" si="6"/>
        <v>966378030</v>
      </c>
      <c r="AX101" s="55">
        <f t="shared" si="7"/>
        <v>1005033151.2</v>
      </c>
      <c r="AY101" s="55">
        <f t="shared" si="8"/>
        <v>1045234477.248</v>
      </c>
      <c r="AZ101" s="55">
        <f t="shared" si="9"/>
        <v>1087043856.33792</v>
      </c>
      <c r="BA101" s="55">
        <f t="shared" si="10"/>
        <v>4103689514.7859201</v>
      </c>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row>
    <row r="102" spans="1:133" s="16" customFormat="1" ht="126" x14ac:dyDescent="0.25">
      <c r="A102" s="148" t="s">
        <v>28</v>
      </c>
      <c r="B102" s="56" t="s">
        <v>229</v>
      </c>
      <c r="C102" s="56" t="s">
        <v>242</v>
      </c>
      <c r="D102" s="56" t="s">
        <v>231</v>
      </c>
      <c r="E102" s="57">
        <v>0.05</v>
      </c>
      <c r="F102" s="57">
        <v>3.7499999999999999E-2</v>
      </c>
      <c r="G102" s="108" t="s">
        <v>250</v>
      </c>
      <c r="H102" s="108" t="s">
        <v>1241</v>
      </c>
      <c r="I102" s="108" t="s">
        <v>251</v>
      </c>
      <c r="J102" s="108" t="s">
        <v>1683</v>
      </c>
      <c r="K102" s="178">
        <v>300</v>
      </c>
      <c r="L102" s="178">
        <v>300</v>
      </c>
      <c r="M102" s="54" t="s">
        <v>234</v>
      </c>
      <c r="N102" s="100" t="s">
        <v>235</v>
      </c>
      <c r="O102" s="54" t="s">
        <v>236</v>
      </c>
      <c r="P102" s="67" t="s">
        <v>42</v>
      </c>
      <c r="Q102" s="54" t="s">
        <v>1679</v>
      </c>
      <c r="R102" s="182">
        <v>300</v>
      </c>
      <c r="S102" s="178">
        <v>300</v>
      </c>
      <c r="T102" s="178">
        <v>300</v>
      </c>
      <c r="U102" s="183">
        <v>300</v>
      </c>
      <c r="V102" s="59">
        <v>300000000</v>
      </c>
      <c r="W102" s="60"/>
      <c r="X102" s="60"/>
      <c r="Y102" s="60"/>
      <c r="Z102" s="60"/>
      <c r="AA102" s="61"/>
      <c r="AB102" s="62">
        <v>300000000</v>
      </c>
      <c r="AC102" s="60"/>
      <c r="AD102" s="60"/>
      <c r="AE102" s="60"/>
      <c r="AF102" s="60"/>
      <c r="AG102" s="60"/>
      <c r="AH102" s="63"/>
      <c r="AI102" s="62">
        <f>((300000000*4%)+AB102)</f>
        <v>312000000</v>
      </c>
      <c r="AJ102" s="60"/>
      <c r="AK102" s="60"/>
      <c r="AL102" s="60"/>
      <c r="AM102" s="60"/>
      <c r="AN102" s="60"/>
      <c r="AO102" s="63"/>
      <c r="AP102" s="62">
        <v>324000000</v>
      </c>
      <c r="AQ102" s="60"/>
      <c r="AR102" s="60"/>
      <c r="AS102" s="60"/>
      <c r="AT102" s="60"/>
      <c r="AU102" s="60"/>
      <c r="AV102" s="64"/>
      <c r="AW102" s="55">
        <f t="shared" si="6"/>
        <v>300000000</v>
      </c>
      <c r="AX102" s="55">
        <f t="shared" si="7"/>
        <v>300000000</v>
      </c>
      <c r="AY102" s="55">
        <f t="shared" si="8"/>
        <v>312000000</v>
      </c>
      <c r="AZ102" s="55">
        <f t="shared" si="9"/>
        <v>324000000</v>
      </c>
      <c r="BA102" s="55">
        <f t="shared" si="10"/>
        <v>1236000000</v>
      </c>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row>
    <row r="103" spans="1:133" s="19" customFormat="1" ht="94.5" x14ac:dyDescent="0.25">
      <c r="A103" s="148" t="s">
        <v>28</v>
      </c>
      <c r="B103" s="56" t="s">
        <v>229</v>
      </c>
      <c r="C103" s="56" t="s">
        <v>242</v>
      </c>
      <c r="D103" s="56" t="s">
        <v>231</v>
      </c>
      <c r="E103" s="57">
        <v>0.05</v>
      </c>
      <c r="F103" s="57">
        <v>3.7499999999999999E-2</v>
      </c>
      <c r="G103" s="108" t="s">
        <v>252</v>
      </c>
      <c r="H103" s="108" t="s">
        <v>1242</v>
      </c>
      <c r="I103" s="108" t="s">
        <v>253</v>
      </c>
      <c r="J103" s="108" t="s">
        <v>1682</v>
      </c>
      <c r="K103" s="178">
        <v>0</v>
      </c>
      <c r="L103" s="179">
        <v>100</v>
      </c>
      <c r="M103" s="54" t="s">
        <v>234</v>
      </c>
      <c r="N103" s="100" t="s">
        <v>235</v>
      </c>
      <c r="O103" s="54" t="s">
        <v>236</v>
      </c>
      <c r="P103" s="72" t="s">
        <v>254</v>
      </c>
      <c r="Q103" s="54" t="s">
        <v>1679</v>
      </c>
      <c r="R103" s="182">
        <v>100</v>
      </c>
      <c r="S103" s="178">
        <v>100</v>
      </c>
      <c r="T103" s="178">
        <v>100</v>
      </c>
      <c r="U103" s="183">
        <v>100</v>
      </c>
      <c r="V103" s="59">
        <v>350000000</v>
      </c>
      <c r="W103" s="60"/>
      <c r="X103" s="60"/>
      <c r="Y103" s="60"/>
      <c r="Z103" s="60"/>
      <c r="AA103" s="61"/>
      <c r="AB103" s="62">
        <f>((300000000*4%)+V103)</f>
        <v>362000000</v>
      </c>
      <c r="AC103" s="60"/>
      <c r="AD103" s="60"/>
      <c r="AE103" s="60"/>
      <c r="AF103" s="60"/>
      <c r="AG103" s="60"/>
      <c r="AH103" s="63"/>
      <c r="AI103" s="62">
        <f>((300000000*4%)+AB103)</f>
        <v>374000000</v>
      </c>
      <c r="AJ103" s="60"/>
      <c r="AK103" s="60"/>
      <c r="AL103" s="60"/>
      <c r="AM103" s="60"/>
      <c r="AN103" s="60"/>
      <c r="AO103" s="63"/>
      <c r="AP103" s="62">
        <v>386000000</v>
      </c>
      <c r="AQ103" s="60"/>
      <c r="AR103" s="60"/>
      <c r="AS103" s="60"/>
      <c r="AT103" s="60"/>
      <c r="AU103" s="60"/>
      <c r="AV103" s="64"/>
      <c r="AW103" s="55">
        <f t="shared" si="6"/>
        <v>350000000</v>
      </c>
      <c r="AX103" s="55">
        <f t="shared" si="7"/>
        <v>362000000</v>
      </c>
      <c r="AY103" s="55">
        <f t="shared" si="8"/>
        <v>374000000</v>
      </c>
      <c r="AZ103" s="55">
        <f t="shared" si="9"/>
        <v>386000000</v>
      </c>
      <c r="BA103" s="55">
        <f t="shared" si="10"/>
        <v>1472000000</v>
      </c>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row>
    <row r="104" spans="1:133" s="18" customFormat="1" ht="94.5" x14ac:dyDescent="0.25">
      <c r="A104" s="148" t="s">
        <v>28</v>
      </c>
      <c r="B104" s="56" t="s">
        <v>229</v>
      </c>
      <c r="C104" s="56" t="s">
        <v>255</v>
      </c>
      <c r="D104" s="56" t="s">
        <v>256</v>
      </c>
      <c r="E104" s="89">
        <v>0.153</v>
      </c>
      <c r="F104" s="89">
        <v>0.13300000000000001</v>
      </c>
      <c r="G104" s="66" t="s">
        <v>257</v>
      </c>
      <c r="H104" s="66" t="s">
        <v>1243</v>
      </c>
      <c r="I104" s="108" t="s">
        <v>258</v>
      </c>
      <c r="J104" s="108" t="s">
        <v>1683</v>
      </c>
      <c r="K104" s="178">
        <v>0</v>
      </c>
      <c r="L104" s="178">
        <v>800</v>
      </c>
      <c r="M104" s="54" t="s">
        <v>234</v>
      </c>
      <c r="N104" s="100" t="s">
        <v>235</v>
      </c>
      <c r="O104" s="54" t="s">
        <v>236</v>
      </c>
      <c r="P104" s="67" t="s">
        <v>42</v>
      </c>
      <c r="Q104" s="54" t="s">
        <v>1679</v>
      </c>
      <c r="R104" s="182">
        <v>800</v>
      </c>
      <c r="S104" s="178">
        <v>800</v>
      </c>
      <c r="T104" s="178">
        <v>800</v>
      </c>
      <c r="U104" s="183">
        <v>800</v>
      </c>
      <c r="V104" s="59">
        <v>500000000</v>
      </c>
      <c r="W104" s="60"/>
      <c r="X104" s="60"/>
      <c r="Y104" s="60"/>
      <c r="Z104" s="60"/>
      <c r="AA104" s="61"/>
      <c r="AB104" s="62">
        <v>394450121.86666662</v>
      </c>
      <c r="AC104" s="60"/>
      <c r="AD104" s="60"/>
      <c r="AE104" s="60"/>
      <c r="AF104" s="60"/>
      <c r="AG104" s="60"/>
      <c r="AH104" s="63"/>
      <c r="AI104" s="62">
        <v>256640926.70666668</v>
      </c>
      <c r="AJ104" s="60"/>
      <c r="AK104" s="60"/>
      <c r="AL104" s="60"/>
      <c r="AM104" s="60"/>
      <c r="AN104" s="60"/>
      <c r="AO104" s="63"/>
      <c r="AP104" s="62">
        <v>266906563.77493334</v>
      </c>
      <c r="AQ104" s="60"/>
      <c r="AR104" s="60"/>
      <c r="AS104" s="60"/>
      <c r="AT104" s="60"/>
      <c r="AU104" s="60"/>
      <c r="AV104" s="64"/>
      <c r="AW104" s="55">
        <f t="shared" si="6"/>
        <v>500000000</v>
      </c>
      <c r="AX104" s="55">
        <f t="shared" si="7"/>
        <v>394450121.86666662</v>
      </c>
      <c r="AY104" s="55">
        <f t="shared" si="8"/>
        <v>256640926.70666668</v>
      </c>
      <c r="AZ104" s="55">
        <f t="shared" si="9"/>
        <v>266906563.77493334</v>
      </c>
      <c r="BA104" s="55">
        <f t="shared" si="10"/>
        <v>1417997612.3482666</v>
      </c>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row>
    <row r="105" spans="1:133" s="15" customFormat="1" ht="94.5" x14ac:dyDescent="0.25">
      <c r="A105" s="148" t="s">
        <v>28</v>
      </c>
      <c r="B105" s="56" t="s">
        <v>229</v>
      </c>
      <c r="C105" s="56" t="s">
        <v>255</v>
      </c>
      <c r="D105" s="56" t="s">
        <v>256</v>
      </c>
      <c r="E105" s="89">
        <v>0.153</v>
      </c>
      <c r="F105" s="89">
        <v>0.13300000000000001</v>
      </c>
      <c r="G105" s="66" t="s">
        <v>257</v>
      </c>
      <c r="H105" s="66" t="s">
        <v>1244</v>
      </c>
      <c r="I105" s="83" t="s">
        <v>259</v>
      </c>
      <c r="J105" s="83" t="s">
        <v>1683</v>
      </c>
      <c r="K105" s="178">
        <v>0</v>
      </c>
      <c r="L105" s="178">
        <v>4000</v>
      </c>
      <c r="M105" s="54" t="s">
        <v>234</v>
      </c>
      <c r="N105" s="100" t="s">
        <v>235</v>
      </c>
      <c r="O105" s="54" t="s">
        <v>236</v>
      </c>
      <c r="P105" s="67" t="s">
        <v>254</v>
      </c>
      <c r="Q105" s="54" t="s">
        <v>1679</v>
      </c>
      <c r="R105" s="182">
        <v>4000</v>
      </c>
      <c r="S105" s="178">
        <v>4000</v>
      </c>
      <c r="T105" s="178">
        <v>4000</v>
      </c>
      <c r="U105" s="183">
        <v>4000</v>
      </c>
      <c r="V105" s="59">
        <v>500000000</v>
      </c>
      <c r="W105" s="60"/>
      <c r="X105" s="60"/>
      <c r="Y105" s="60"/>
      <c r="Z105" s="60"/>
      <c r="AA105" s="61"/>
      <c r="AB105" s="62">
        <v>394450121.86666662</v>
      </c>
      <c r="AC105" s="60"/>
      <c r="AD105" s="60"/>
      <c r="AE105" s="60"/>
      <c r="AF105" s="60"/>
      <c r="AG105" s="60"/>
      <c r="AH105" s="63"/>
      <c r="AI105" s="62">
        <v>256640926.70666668</v>
      </c>
      <c r="AJ105" s="60"/>
      <c r="AK105" s="60"/>
      <c r="AL105" s="60"/>
      <c r="AM105" s="60"/>
      <c r="AN105" s="60"/>
      <c r="AO105" s="63"/>
      <c r="AP105" s="62">
        <v>266906563.77493334</v>
      </c>
      <c r="AQ105" s="60"/>
      <c r="AR105" s="60"/>
      <c r="AS105" s="60"/>
      <c r="AT105" s="60"/>
      <c r="AU105" s="60"/>
      <c r="AV105" s="64"/>
      <c r="AW105" s="55">
        <f t="shared" si="6"/>
        <v>500000000</v>
      </c>
      <c r="AX105" s="55">
        <f t="shared" si="7"/>
        <v>394450121.86666662</v>
      </c>
      <c r="AY105" s="55">
        <f t="shared" si="8"/>
        <v>256640926.70666668</v>
      </c>
      <c r="AZ105" s="55">
        <f t="shared" si="9"/>
        <v>266906563.77493334</v>
      </c>
      <c r="BA105" s="55">
        <f t="shared" si="10"/>
        <v>1417997612.3482666</v>
      </c>
    </row>
    <row r="106" spans="1:133" s="16" customFormat="1" ht="110.25" x14ac:dyDescent="0.25">
      <c r="A106" s="148" t="s">
        <v>28</v>
      </c>
      <c r="B106" s="56" t="s">
        <v>229</v>
      </c>
      <c r="C106" s="56" t="s">
        <v>255</v>
      </c>
      <c r="D106" s="56" t="s">
        <v>256</v>
      </c>
      <c r="E106" s="89">
        <v>0.153</v>
      </c>
      <c r="F106" s="89">
        <v>0.13300000000000001</v>
      </c>
      <c r="G106" s="66" t="s">
        <v>257</v>
      </c>
      <c r="H106" s="66" t="s">
        <v>1245</v>
      </c>
      <c r="I106" s="108" t="s">
        <v>260</v>
      </c>
      <c r="J106" s="108" t="s">
        <v>1683</v>
      </c>
      <c r="K106" s="178">
        <v>0</v>
      </c>
      <c r="L106" s="178">
        <v>200</v>
      </c>
      <c r="M106" s="54" t="s">
        <v>234</v>
      </c>
      <c r="N106" s="100" t="s">
        <v>235</v>
      </c>
      <c r="O106" s="54" t="s">
        <v>236</v>
      </c>
      <c r="P106" s="72" t="s">
        <v>39</v>
      </c>
      <c r="Q106" s="167" t="s">
        <v>1680</v>
      </c>
      <c r="R106" s="182">
        <v>0</v>
      </c>
      <c r="S106" s="178">
        <v>50</v>
      </c>
      <c r="T106" s="178">
        <v>75</v>
      </c>
      <c r="U106" s="183">
        <v>75</v>
      </c>
      <c r="V106" s="59"/>
      <c r="W106" s="60"/>
      <c r="X106" s="60"/>
      <c r="Y106" s="60"/>
      <c r="Z106" s="60"/>
      <c r="AA106" s="61"/>
      <c r="AB106" s="62">
        <v>394450121.86666662</v>
      </c>
      <c r="AC106" s="60"/>
      <c r="AD106" s="60"/>
      <c r="AE106" s="60"/>
      <c r="AF106" s="60"/>
      <c r="AG106" s="60"/>
      <c r="AH106" s="63"/>
      <c r="AI106" s="62">
        <v>256640926.70666668</v>
      </c>
      <c r="AJ106" s="60"/>
      <c r="AK106" s="60"/>
      <c r="AL106" s="60"/>
      <c r="AM106" s="60"/>
      <c r="AN106" s="60"/>
      <c r="AO106" s="63"/>
      <c r="AP106" s="62">
        <v>266906563.77493334</v>
      </c>
      <c r="AQ106" s="60"/>
      <c r="AR106" s="60"/>
      <c r="AS106" s="60"/>
      <c r="AT106" s="60"/>
      <c r="AU106" s="60"/>
      <c r="AV106" s="64"/>
      <c r="AW106" s="55">
        <f t="shared" si="6"/>
        <v>0</v>
      </c>
      <c r="AX106" s="55">
        <f t="shared" si="7"/>
        <v>394450121.86666662</v>
      </c>
      <c r="AY106" s="55">
        <f t="shared" si="8"/>
        <v>256640926.70666668</v>
      </c>
      <c r="AZ106" s="55">
        <f t="shared" si="9"/>
        <v>266906563.77493334</v>
      </c>
      <c r="BA106" s="55">
        <f t="shared" si="10"/>
        <v>917997612.3482666</v>
      </c>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row>
    <row r="107" spans="1:133" s="21" customFormat="1" ht="173.25" x14ac:dyDescent="0.25">
      <c r="A107" s="148" t="s">
        <v>28</v>
      </c>
      <c r="B107" s="56" t="s">
        <v>229</v>
      </c>
      <c r="C107" s="56" t="s">
        <v>255</v>
      </c>
      <c r="D107" s="56" t="s">
        <v>256</v>
      </c>
      <c r="E107" s="89">
        <v>0.153</v>
      </c>
      <c r="F107" s="89">
        <v>0.13300000000000001</v>
      </c>
      <c r="G107" s="66" t="s">
        <v>257</v>
      </c>
      <c r="H107" s="66" t="s">
        <v>1146</v>
      </c>
      <c r="I107" s="108" t="s">
        <v>40</v>
      </c>
      <c r="J107" s="108" t="s">
        <v>1682</v>
      </c>
      <c r="K107" s="178" t="s">
        <v>41</v>
      </c>
      <c r="L107" s="179">
        <v>100</v>
      </c>
      <c r="M107" s="54" t="s">
        <v>234</v>
      </c>
      <c r="N107" s="100" t="s">
        <v>235</v>
      </c>
      <c r="O107" s="54" t="s">
        <v>236</v>
      </c>
      <c r="P107" s="72" t="s">
        <v>254</v>
      </c>
      <c r="Q107" s="54" t="s">
        <v>1679</v>
      </c>
      <c r="R107" s="182">
        <v>100</v>
      </c>
      <c r="S107" s="178">
        <v>100</v>
      </c>
      <c r="T107" s="178">
        <v>100</v>
      </c>
      <c r="U107" s="183">
        <v>100</v>
      </c>
      <c r="V107" s="59">
        <v>500000000</v>
      </c>
      <c r="W107" s="60"/>
      <c r="X107" s="60"/>
      <c r="Y107" s="60"/>
      <c r="Z107" s="60"/>
      <c r="AA107" s="61"/>
      <c r="AB107" s="62">
        <v>394450121.86666662</v>
      </c>
      <c r="AC107" s="60"/>
      <c r="AD107" s="60"/>
      <c r="AE107" s="60"/>
      <c r="AF107" s="60"/>
      <c r="AG107" s="60"/>
      <c r="AH107" s="63"/>
      <c r="AI107" s="62">
        <v>256640926.70666668</v>
      </c>
      <c r="AJ107" s="60"/>
      <c r="AK107" s="60"/>
      <c r="AL107" s="60"/>
      <c r="AM107" s="60"/>
      <c r="AN107" s="60"/>
      <c r="AO107" s="63"/>
      <c r="AP107" s="62">
        <v>266906563.77493334</v>
      </c>
      <c r="AQ107" s="60"/>
      <c r="AR107" s="60"/>
      <c r="AS107" s="60"/>
      <c r="AT107" s="60"/>
      <c r="AU107" s="60"/>
      <c r="AV107" s="64"/>
      <c r="AW107" s="55">
        <f t="shared" si="6"/>
        <v>500000000</v>
      </c>
      <c r="AX107" s="55">
        <f t="shared" si="7"/>
        <v>394450121.86666662</v>
      </c>
      <c r="AY107" s="55">
        <f t="shared" si="8"/>
        <v>256640926.70666668</v>
      </c>
      <c r="AZ107" s="55">
        <f t="shared" si="9"/>
        <v>266906563.77493334</v>
      </c>
      <c r="BA107" s="55">
        <f t="shared" si="10"/>
        <v>1417997612.3482666</v>
      </c>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row>
    <row r="108" spans="1:133" s="19" customFormat="1" ht="94.5" x14ac:dyDescent="0.25">
      <c r="A108" s="148" t="s">
        <v>28</v>
      </c>
      <c r="B108" s="56" t="s">
        <v>229</v>
      </c>
      <c r="C108" s="56" t="s">
        <v>255</v>
      </c>
      <c r="D108" s="56" t="s">
        <v>256</v>
      </c>
      <c r="E108" s="89">
        <v>0.153</v>
      </c>
      <c r="F108" s="89">
        <v>0.13300000000000001</v>
      </c>
      <c r="G108" s="108" t="s">
        <v>262</v>
      </c>
      <c r="H108" s="108" t="s">
        <v>1246</v>
      </c>
      <c r="I108" s="108" t="s">
        <v>263</v>
      </c>
      <c r="J108" s="108" t="s">
        <v>1683</v>
      </c>
      <c r="K108" s="178">
        <v>0</v>
      </c>
      <c r="L108" s="178">
        <v>300</v>
      </c>
      <c r="M108" s="54" t="s">
        <v>234</v>
      </c>
      <c r="N108" s="100" t="s">
        <v>235</v>
      </c>
      <c r="O108" s="54" t="s">
        <v>236</v>
      </c>
      <c r="P108" s="72" t="s">
        <v>39</v>
      </c>
      <c r="Q108" s="167" t="s">
        <v>1680</v>
      </c>
      <c r="R108" s="182">
        <v>0</v>
      </c>
      <c r="S108" s="178">
        <v>50</v>
      </c>
      <c r="T108" s="178">
        <v>100</v>
      </c>
      <c r="U108" s="183">
        <v>150</v>
      </c>
      <c r="V108" s="76"/>
      <c r="W108" s="60"/>
      <c r="X108" s="60"/>
      <c r="Y108" s="60"/>
      <c r="Z108" s="60"/>
      <c r="AA108" s="61"/>
      <c r="AB108" s="62">
        <v>394450121.86666662</v>
      </c>
      <c r="AC108" s="60"/>
      <c r="AD108" s="60"/>
      <c r="AE108" s="60"/>
      <c r="AF108" s="60"/>
      <c r="AG108" s="60"/>
      <c r="AH108" s="63"/>
      <c r="AI108" s="62">
        <v>256640926.70666668</v>
      </c>
      <c r="AJ108" s="60"/>
      <c r="AK108" s="60"/>
      <c r="AL108" s="60"/>
      <c r="AM108" s="60"/>
      <c r="AN108" s="60"/>
      <c r="AO108" s="63"/>
      <c r="AP108" s="62">
        <v>266906563.77493334</v>
      </c>
      <c r="AQ108" s="60"/>
      <c r="AR108" s="60"/>
      <c r="AS108" s="60"/>
      <c r="AT108" s="60"/>
      <c r="AU108" s="60"/>
      <c r="AV108" s="64"/>
      <c r="AW108" s="55">
        <f t="shared" si="6"/>
        <v>0</v>
      </c>
      <c r="AX108" s="55">
        <f t="shared" si="7"/>
        <v>394450121.86666662</v>
      </c>
      <c r="AY108" s="55">
        <f t="shared" si="8"/>
        <v>256640926.70666668</v>
      </c>
      <c r="AZ108" s="55">
        <f t="shared" si="9"/>
        <v>266906563.77493334</v>
      </c>
      <c r="BA108" s="55">
        <f t="shared" si="10"/>
        <v>917997612.3482666</v>
      </c>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row>
    <row r="109" spans="1:133" s="18" customFormat="1" ht="94.5" x14ac:dyDescent="0.25">
      <c r="A109" s="148" t="s">
        <v>28</v>
      </c>
      <c r="B109" s="56" t="s">
        <v>229</v>
      </c>
      <c r="C109" s="56" t="s">
        <v>255</v>
      </c>
      <c r="D109" s="56" t="s">
        <v>256</v>
      </c>
      <c r="E109" s="89">
        <v>0.153</v>
      </c>
      <c r="F109" s="89">
        <v>0.13300000000000001</v>
      </c>
      <c r="G109" s="108" t="s">
        <v>264</v>
      </c>
      <c r="H109" s="108" t="s">
        <v>1247</v>
      </c>
      <c r="I109" s="108" t="s">
        <v>265</v>
      </c>
      <c r="J109" s="108" t="s">
        <v>1683</v>
      </c>
      <c r="K109" s="178" t="s">
        <v>90</v>
      </c>
      <c r="L109" s="178">
        <v>2900</v>
      </c>
      <c r="M109" s="54" t="s">
        <v>234</v>
      </c>
      <c r="N109" s="100" t="s">
        <v>235</v>
      </c>
      <c r="O109" s="54" t="s">
        <v>236</v>
      </c>
      <c r="P109" s="72" t="s">
        <v>39</v>
      </c>
      <c r="Q109" s="167" t="s">
        <v>1680</v>
      </c>
      <c r="R109" s="182">
        <v>400</v>
      </c>
      <c r="S109" s="178">
        <v>500</v>
      </c>
      <c r="T109" s="178">
        <v>1000</v>
      </c>
      <c r="U109" s="183">
        <v>1000</v>
      </c>
      <c r="V109" s="59">
        <v>760000000</v>
      </c>
      <c r="W109" s="60"/>
      <c r="X109" s="60"/>
      <c r="Y109" s="60"/>
      <c r="Z109" s="60"/>
      <c r="AA109" s="61"/>
      <c r="AB109" s="62">
        <v>394450121.86666662</v>
      </c>
      <c r="AC109" s="60"/>
      <c r="AD109" s="60"/>
      <c r="AE109" s="60"/>
      <c r="AF109" s="60"/>
      <c r="AG109" s="60"/>
      <c r="AH109" s="63"/>
      <c r="AI109" s="62">
        <v>256640926.70666668</v>
      </c>
      <c r="AJ109" s="60"/>
      <c r="AK109" s="60"/>
      <c r="AL109" s="60"/>
      <c r="AM109" s="60"/>
      <c r="AN109" s="60"/>
      <c r="AO109" s="63"/>
      <c r="AP109" s="62">
        <v>266906563.77493334</v>
      </c>
      <c r="AQ109" s="60"/>
      <c r="AR109" s="60"/>
      <c r="AS109" s="60"/>
      <c r="AT109" s="60"/>
      <c r="AU109" s="60"/>
      <c r="AV109" s="64"/>
      <c r="AW109" s="55">
        <f t="shared" si="6"/>
        <v>760000000</v>
      </c>
      <c r="AX109" s="55">
        <f t="shared" si="7"/>
        <v>394450121.86666662</v>
      </c>
      <c r="AY109" s="55">
        <f t="shared" si="8"/>
        <v>256640926.70666668</v>
      </c>
      <c r="AZ109" s="55">
        <f t="shared" si="9"/>
        <v>266906563.77493334</v>
      </c>
      <c r="BA109" s="55">
        <f t="shared" si="10"/>
        <v>1677997612.3482666</v>
      </c>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row>
    <row r="110" spans="1:133" s="14" customFormat="1" ht="94.5" x14ac:dyDescent="0.25">
      <c r="A110" s="148" t="s">
        <v>28</v>
      </c>
      <c r="B110" s="56" t="s">
        <v>229</v>
      </c>
      <c r="C110" s="56" t="s">
        <v>255</v>
      </c>
      <c r="D110" s="56" t="s">
        <v>256</v>
      </c>
      <c r="E110" s="89">
        <v>0.153</v>
      </c>
      <c r="F110" s="89">
        <v>0.13300000000000001</v>
      </c>
      <c r="G110" s="108" t="s">
        <v>266</v>
      </c>
      <c r="H110" s="108" t="s">
        <v>1248</v>
      </c>
      <c r="I110" s="108" t="s">
        <v>267</v>
      </c>
      <c r="J110" s="108" t="s">
        <v>1683</v>
      </c>
      <c r="K110" s="178">
        <v>2</v>
      </c>
      <c r="L110" s="178">
        <v>5</v>
      </c>
      <c r="M110" s="54" t="s">
        <v>234</v>
      </c>
      <c r="N110" s="100" t="s">
        <v>235</v>
      </c>
      <c r="O110" s="54" t="s">
        <v>236</v>
      </c>
      <c r="P110" s="72" t="s">
        <v>39</v>
      </c>
      <c r="Q110" s="167" t="s">
        <v>1680</v>
      </c>
      <c r="R110" s="182">
        <v>0</v>
      </c>
      <c r="S110" s="178">
        <v>2</v>
      </c>
      <c r="T110" s="178">
        <v>2</v>
      </c>
      <c r="U110" s="183">
        <v>1</v>
      </c>
      <c r="V110" s="59"/>
      <c r="W110" s="60"/>
      <c r="X110" s="60"/>
      <c r="Y110" s="60"/>
      <c r="Z110" s="60"/>
      <c r="AA110" s="61"/>
      <c r="AB110" s="62">
        <f>(((177917392*4%)+177917392)*3)</f>
        <v>555102263.03999996</v>
      </c>
      <c r="AC110" s="60"/>
      <c r="AD110" s="60"/>
      <c r="AE110" s="60"/>
      <c r="AF110" s="60"/>
      <c r="AG110" s="60"/>
      <c r="AH110" s="63"/>
      <c r="AI110" s="62">
        <f>(555102263*4%)+555102263</f>
        <v>577306353.51999998</v>
      </c>
      <c r="AJ110" s="60"/>
      <c r="AK110" s="60"/>
      <c r="AL110" s="60"/>
      <c r="AM110" s="60"/>
      <c r="AN110" s="60"/>
      <c r="AO110" s="63"/>
      <c r="AP110" s="62">
        <f>(AI110*4%)+AI110</f>
        <v>600398607.66079998</v>
      </c>
      <c r="AQ110" s="60"/>
      <c r="AR110" s="60"/>
      <c r="AS110" s="60"/>
      <c r="AT110" s="60"/>
      <c r="AU110" s="60"/>
      <c r="AV110" s="64"/>
      <c r="AW110" s="55">
        <f t="shared" si="6"/>
        <v>0</v>
      </c>
      <c r="AX110" s="55">
        <f t="shared" si="7"/>
        <v>555102263.03999996</v>
      </c>
      <c r="AY110" s="55">
        <f t="shared" si="8"/>
        <v>577306353.51999998</v>
      </c>
      <c r="AZ110" s="55">
        <f t="shared" si="9"/>
        <v>600398607.66079998</v>
      </c>
      <c r="BA110" s="55">
        <f t="shared" si="10"/>
        <v>1732807224.2207999</v>
      </c>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row>
    <row r="111" spans="1:133" s="14" customFormat="1" ht="94.5" x14ac:dyDescent="0.25">
      <c r="A111" s="148" t="s">
        <v>28</v>
      </c>
      <c r="B111" s="56" t="s">
        <v>229</v>
      </c>
      <c r="C111" s="56" t="s">
        <v>255</v>
      </c>
      <c r="D111" s="56" t="s">
        <v>256</v>
      </c>
      <c r="E111" s="89">
        <v>0.153</v>
      </c>
      <c r="F111" s="89">
        <v>0.13300000000000001</v>
      </c>
      <c r="G111" s="108" t="s">
        <v>268</v>
      </c>
      <c r="H111" s="108" t="s">
        <v>1249</v>
      </c>
      <c r="I111" s="108" t="s">
        <v>269</v>
      </c>
      <c r="J111" s="108" t="s">
        <v>1683</v>
      </c>
      <c r="K111" s="178">
        <v>5450</v>
      </c>
      <c r="L111" s="178">
        <v>12000</v>
      </c>
      <c r="M111" s="54" t="s">
        <v>234</v>
      </c>
      <c r="N111" s="100" t="s">
        <v>235</v>
      </c>
      <c r="O111" s="54" t="s">
        <v>236</v>
      </c>
      <c r="P111" s="72" t="s">
        <v>39</v>
      </c>
      <c r="Q111" s="167" t="s">
        <v>1680</v>
      </c>
      <c r="R111" s="182">
        <v>0</v>
      </c>
      <c r="S111" s="178">
        <v>3000</v>
      </c>
      <c r="T111" s="178">
        <v>4500</v>
      </c>
      <c r="U111" s="183">
        <v>4500</v>
      </c>
      <c r="V111" s="59"/>
      <c r="W111" s="60"/>
      <c r="X111" s="60"/>
      <c r="Y111" s="60"/>
      <c r="Z111" s="60"/>
      <c r="AA111" s="61"/>
      <c r="AB111" s="62">
        <v>797818758</v>
      </c>
      <c r="AC111" s="60"/>
      <c r="AD111" s="60"/>
      <c r="AE111" s="60"/>
      <c r="AF111" s="60"/>
      <c r="AG111" s="60"/>
      <c r="AH111" s="63"/>
      <c r="AI111" s="62">
        <f>(797818758*4%)+797818758</f>
        <v>829731508.32000005</v>
      </c>
      <c r="AJ111" s="60"/>
      <c r="AK111" s="60"/>
      <c r="AL111" s="60"/>
      <c r="AM111" s="60"/>
      <c r="AN111" s="60"/>
      <c r="AO111" s="63"/>
      <c r="AP111" s="62">
        <f>(AI111*4%)+AI111</f>
        <v>862920768.65280008</v>
      </c>
      <c r="AQ111" s="60"/>
      <c r="AR111" s="60"/>
      <c r="AS111" s="60"/>
      <c r="AT111" s="60"/>
      <c r="AU111" s="60"/>
      <c r="AV111" s="64"/>
      <c r="AW111" s="55">
        <f t="shared" si="6"/>
        <v>0</v>
      </c>
      <c r="AX111" s="55">
        <f t="shared" si="7"/>
        <v>797818758</v>
      </c>
      <c r="AY111" s="55">
        <f t="shared" si="8"/>
        <v>829731508.32000005</v>
      </c>
      <c r="AZ111" s="55">
        <f t="shared" si="9"/>
        <v>862920768.65280008</v>
      </c>
      <c r="BA111" s="55">
        <f t="shared" si="10"/>
        <v>2490471034.9728003</v>
      </c>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row>
    <row r="112" spans="1:133" s="6" customFormat="1" ht="110.25" x14ac:dyDescent="0.25">
      <c r="A112" s="148" t="s">
        <v>28</v>
      </c>
      <c r="B112" s="56" t="s">
        <v>229</v>
      </c>
      <c r="C112" s="56" t="s">
        <v>270</v>
      </c>
      <c r="D112" s="56" t="s">
        <v>271</v>
      </c>
      <c r="E112" s="89">
        <v>2.1999999999999999E-2</v>
      </c>
      <c r="F112" s="89">
        <v>1.6E-2</v>
      </c>
      <c r="G112" s="108" t="s">
        <v>272</v>
      </c>
      <c r="H112" s="108" t="s">
        <v>1250</v>
      </c>
      <c r="I112" s="108" t="s">
        <v>273</v>
      </c>
      <c r="J112" s="108" t="s">
        <v>1682</v>
      </c>
      <c r="K112" s="178">
        <v>0</v>
      </c>
      <c r="L112" s="179">
        <v>100</v>
      </c>
      <c r="M112" s="54" t="s">
        <v>234</v>
      </c>
      <c r="N112" s="100" t="s">
        <v>235</v>
      </c>
      <c r="O112" s="54" t="s">
        <v>236</v>
      </c>
      <c r="P112" s="72" t="s">
        <v>39</v>
      </c>
      <c r="Q112" s="167" t="s">
        <v>1680</v>
      </c>
      <c r="R112" s="182">
        <v>0</v>
      </c>
      <c r="S112" s="178">
        <v>20</v>
      </c>
      <c r="T112" s="178">
        <v>20</v>
      </c>
      <c r="U112" s="183">
        <v>60</v>
      </c>
      <c r="V112" s="59"/>
      <c r="W112" s="60"/>
      <c r="X112" s="60"/>
      <c r="Y112" s="60"/>
      <c r="Z112" s="60"/>
      <c r="AA112" s="61"/>
      <c r="AB112" s="62">
        <f>((1557000000*4%)+1557000000)</f>
        <v>1619280000</v>
      </c>
      <c r="AC112" s="60"/>
      <c r="AD112" s="60"/>
      <c r="AE112" s="60"/>
      <c r="AF112" s="60"/>
      <c r="AG112" s="60"/>
      <c r="AH112" s="63"/>
      <c r="AI112" s="62">
        <f>((AB112*4%)+AB112)</f>
        <v>1684051200</v>
      </c>
      <c r="AJ112" s="60"/>
      <c r="AK112" s="60"/>
      <c r="AL112" s="60"/>
      <c r="AM112" s="60"/>
      <c r="AN112" s="60"/>
      <c r="AO112" s="63"/>
      <c r="AP112" s="62">
        <f>((AI112*4%)+AI112)</f>
        <v>1751413248</v>
      </c>
      <c r="AQ112" s="60"/>
      <c r="AR112" s="60"/>
      <c r="AS112" s="60"/>
      <c r="AT112" s="60"/>
      <c r="AU112" s="60"/>
      <c r="AV112" s="64"/>
      <c r="AW112" s="55">
        <f t="shared" si="6"/>
        <v>0</v>
      </c>
      <c r="AX112" s="55">
        <f t="shared" si="7"/>
        <v>1619280000</v>
      </c>
      <c r="AY112" s="55">
        <f t="shared" si="8"/>
        <v>1684051200</v>
      </c>
      <c r="AZ112" s="55">
        <f t="shared" si="9"/>
        <v>1751413248</v>
      </c>
      <c r="BA112" s="55">
        <f t="shared" si="10"/>
        <v>5054744448</v>
      </c>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row>
    <row r="113" spans="1:133" s="18" customFormat="1" ht="94.5" x14ac:dyDescent="0.25">
      <c r="A113" s="148" t="s">
        <v>28</v>
      </c>
      <c r="B113" s="56" t="s">
        <v>229</v>
      </c>
      <c r="C113" s="56" t="s">
        <v>270</v>
      </c>
      <c r="D113" s="56" t="s">
        <v>271</v>
      </c>
      <c r="E113" s="89">
        <v>2.1999999999999999E-2</v>
      </c>
      <c r="F113" s="89">
        <v>1.6E-2</v>
      </c>
      <c r="G113" s="66" t="s">
        <v>274</v>
      </c>
      <c r="H113" s="66" t="s">
        <v>1251</v>
      </c>
      <c r="I113" s="108" t="s">
        <v>275</v>
      </c>
      <c r="J113" s="108" t="s">
        <v>1683</v>
      </c>
      <c r="K113" s="178">
        <v>9506</v>
      </c>
      <c r="L113" s="178">
        <v>8000</v>
      </c>
      <c r="M113" s="54" t="s">
        <v>234</v>
      </c>
      <c r="N113" s="100" t="s">
        <v>235</v>
      </c>
      <c r="O113" s="54" t="s">
        <v>236</v>
      </c>
      <c r="P113" s="67" t="s">
        <v>42</v>
      </c>
      <c r="Q113" s="54" t="s">
        <v>1679</v>
      </c>
      <c r="R113" s="182">
        <v>8000</v>
      </c>
      <c r="S113" s="178">
        <v>8000</v>
      </c>
      <c r="T113" s="178">
        <v>8000</v>
      </c>
      <c r="U113" s="183">
        <v>8000</v>
      </c>
      <c r="V113" s="59">
        <v>10096658780</v>
      </c>
      <c r="W113" s="60"/>
      <c r="X113" s="60"/>
      <c r="Y113" s="60"/>
      <c r="Z113" s="60"/>
      <c r="AA113" s="61"/>
      <c r="AB113" s="62">
        <v>9579244575.6000004</v>
      </c>
      <c r="AC113" s="60"/>
      <c r="AD113" s="60"/>
      <c r="AE113" s="60"/>
      <c r="AF113" s="60"/>
      <c r="AG113" s="60"/>
      <c r="AH113" s="63"/>
      <c r="AI113" s="62">
        <v>7042414358.6239996</v>
      </c>
      <c r="AJ113" s="60"/>
      <c r="AK113" s="60"/>
      <c r="AL113" s="60"/>
      <c r="AM113" s="60"/>
      <c r="AN113" s="60"/>
      <c r="AO113" s="63"/>
      <c r="AP113" s="62">
        <v>9524110932.9689999</v>
      </c>
      <c r="AQ113" s="60"/>
      <c r="AR113" s="60"/>
      <c r="AS113" s="60"/>
      <c r="AT113" s="60"/>
      <c r="AU113" s="60"/>
      <c r="AV113" s="64"/>
      <c r="AW113" s="55">
        <f t="shared" si="6"/>
        <v>10096658780</v>
      </c>
      <c r="AX113" s="55">
        <f t="shared" si="7"/>
        <v>9579244575.6000004</v>
      </c>
      <c r="AY113" s="55">
        <f t="shared" si="8"/>
        <v>7042414358.6239996</v>
      </c>
      <c r="AZ113" s="55">
        <f t="shared" si="9"/>
        <v>9524110932.9689999</v>
      </c>
      <c r="BA113" s="55">
        <f t="shared" si="10"/>
        <v>36242428647.193001</v>
      </c>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row>
    <row r="114" spans="1:133" s="18" customFormat="1" ht="173.25" x14ac:dyDescent="0.25">
      <c r="A114" s="148" t="s">
        <v>28</v>
      </c>
      <c r="B114" s="56" t="s">
        <v>229</v>
      </c>
      <c r="C114" s="56" t="s">
        <v>270</v>
      </c>
      <c r="D114" s="56" t="s">
        <v>271</v>
      </c>
      <c r="E114" s="89">
        <v>2.1999999999999999E-2</v>
      </c>
      <c r="F114" s="89">
        <v>1.6E-2</v>
      </c>
      <c r="G114" s="66" t="s">
        <v>274</v>
      </c>
      <c r="H114" s="66" t="s">
        <v>1146</v>
      </c>
      <c r="I114" s="108" t="s">
        <v>40</v>
      </c>
      <c r="J114" s="108" t="s">
        <v>1682</v>
      </c>
      <c r="K114" s="178" t="s">
        <v>41</v>
      </c>
      <c r="L114" s="179">
        <v>100</v>
      </c>
      <c r="M114" s="54" t="s">
        <v>234</v>
      </c>
      <c r="N114" s="100" t="s">
        <v>235</v>
      </c>
      <c r="O114" s="54" t="s">
        <v>236</v>
      </c>
      <c r="P114" s="72" t="s">
        <v>42</v>
      </c>
      <c r="Q114" s="54" t="s">
        <v>1679</v>
      </c>
      <c r="R114" s="182">
        <v>100</v>
      </c>
      <c r="S114" s="178">
        <v>100</v>
      </c>
      <c r="T114" s="178">
        <v>100</v>
      </c>
      <c r="U114" s="183">
        <v>100</v>
      </c>
      <c r="V114" s="59">
        <v>10096658780</v>
      </c>
      <c r="W114" s="60"/>
      <c r="X114" s="60"/>
      <c r="Y114" s="60"/>
      <c r="Z114" s="60"/>
      <c r="AA114" s="61"/>
      <c r="AB114" s="62">
        <v>9579244575.6000004</v>
      </c>
      <c r="AC114" s="60"/>
      <c r="AD114" s="60"/>
      <c r="AE114" s="60"/>
      <c r="AF114" s="60"/>
      <c r="AG114" s="60"/>
      <c r="AH114" s="63"/>
      <c r="AI114" s="62">
        <v>7042414358.6239996</v>
      </c>
      <c r="AJ114" s="60"/>
      <c r="AK114" s="60"/>
      <c r="AL114" s="60"/>
      <c r="AM114" s="60"/>
      <c r="AN114" s="60"/>
      <c r="AO114" s="63"/>
      <c r="AP114" s="62">
        <v>12524110932.96896</v>
      </c>
      <c r="AQ114" s="60"/>
      <c r="AR114" s="60"/>
      <c r="AS114" s="60"/>
      <c r="AT114" s="60"/>
      <c r="AU114" s="60"/>
      <c r="AV114" s="64"/>
      <c r="AW114" s="55">
        <f t="shared" si="6"/>
        <v>10096658780</v>
      </c>
      <c r="AX114" s="55">
        <f t="shared" si="7"/>
        <v>9579244575.6000004</v>
      </c>
      <c r="AY114" s="55">
        <f t="shared" si="8"/>
        <v>7042414358.6239996</v>
      </c>
      <c r="AZ114" s="55">
        <f t="shared" si="9"/>
        <v>12524110932.96896</v>
      </c>
      <c r="BA114" s="55">
        <f t="shared" si="10"/>
        <v>39242428647.192963</v>
      </c>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row>
    <row r="115" spans="1:133" s="18" customFormat="1" ht="141.75" x14ac:dyDescent="0.25">
      <c r="A115" s="148" t="s">
        <v>28</v>
      </c>
      <c r="B115" s="56" t="s">
        <v>229</v>
      </c>
      <c r="C115" s="56" t="s">
        <v>270</v>
      </c>
      <c r="D115" s="56" t="s">
        <v>271</v>
      </c>
      <c r="E115" s="89">
        <v>2.1999999999999999E-2</v>
      </c>
      <c r="F115" s="89">
        <v>1.6E-2</v>
      </c>
      <c r="G115" s="108" t="s">
        <v>276</v>
      </c>
      <c r="H115" s="108" t="s">
        <v>1252</v>
      </c>
      <c r="I115" s="108" t="s">
        <v>277</v>
      </c>
      <c r="J115" s="108" t="s">
        <v>1683</v>
      </c>
      <c r="K115" s="178">
        <v>307</v>
      </c>
      <c r="L115" s="178">
        <v>260</v>
      </c>
      <c r="M115" s="54" t="s">
        <v>234</v>
      </c>
      <c r="N115" s="108" t="s">
        <v>235</v>
      </c>
      <c r="O115" s="54" t="s">
        <v>236</v>
      </c>
      <c r="P115" s="67" t="s">
        <v>42</v>
      </c>
      <c r="Q115" s="54" t="s">
        <v>1679</v>
      </c>
      <c r="R115" s="182">
        <v>260</v>
      </c>
      <c r="S115" s="178">
        <v>260</v>
      </c>
      <c r="T115" s="178">
        <v>260</v>
      </c>
      <c r="U115" s="183">
        <v>260</v>
      </c>
      <c r="V115" s="59">
        <v>2673000000</v>
      </c>
      <c r="W115" s="60"/>
      <c r="X115" s="60"/>
      <c r="Y115" s="60"/>
      <c r="Z115" s="60"/>
      <c r="AA115" s="61"/>
      <c r="AB115" s="62">
        <f>(7009540308*4%)+7009540308</f>
        <v>7289921920.3199997</v>
      </c>
      <c r="AC115" s="60"/>
      <c r="AD115" s="60"/>
      <c r="AE115" s="60"/>
      <c r="AF115" s="60"/>
      <c r="AG115" s="60"/>
      <c r="AH115" s="63"/>
      <c r="AI115" s="62">
        <v>5581518797.1328001</v>
      </c>
      <c r="AJ115" s="60"/>
      <c r="AK115" s="60"/>
      <c r="AL115" s="60"/>
      <c r="AM115" s="60"/>
      <c r="AN115" s="60"/>
      <c r="AO115" s="63"/>
      <c r="AP115" s="62">
        <f>((AI115*4%)+AI115)</f>
        <v>5804779549.0181122</v>
      </c>
      <c r="AQ115" s="60"/>
      <c r="AR115" s="60"/>
      <c r="AS115" s="60"/>
      <c r="AT115" s="60"/>
      <c r="AU115" s="60"/>
      <c r="AV115" s="64"/>
      <c r="AW115" s="55">
        <f t="shared" si="6"/>
        <v>2673000000</v>
      </c>
      <c r="AX115" s="55">
        <f t="shared" si="7"/>
        <v>7289921920.3199997</v>
      </c>
      <c r="AY115" s="55">
        <f t="shared" si="8"/>
        <v>5581518797.1328001</v>
      </c>
      <c r="AZ115" s="55">
        <f t="shared" si="9"/>
        <v>5804779549.0181122</v>
      </c>
      <c r="BA115" s="55">
        <f t="shared" si="10"/>
        <v>21349220266.470913</v>
      </c>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row>
    <row r="116" spans="1:133" s="18" customFormat="1" ht="94.5" x14ac:dyDescent="0.25">
      <c r="A116" s="148" t="s">
        <v>28</v>
      </c>
      <c r="B116" s="56" t="s">
        <v>229</v>
      </c>
      <c r="C116" s="56" t="s">
        <v>270</v>
      </c>
      <c r="D116" s="56" t="s">
        <v>271</v>
      </c>
      <c r="E116" s="89">
        <v>2.1999999999999999E-2</v>
      </c>
      <c r="F116" s="89">
        <v>1.6E-2</v>
      </c>
      <c r="G116" s="108" t="s">
        <v>278</v>
      </c>
      <c r="H116" s="108" t="s">
        <v>1253</v>
      </c>
      <c r="I116" s="108" t="s">
        <v>279</v>
      </c>
      <c r="J116" s="108" t="s">
        <v>1683</v>
      </c>
      <c r="K116" s="178">
        <v>30669</v>
      </c>
      <c r="L116" s="178">
        <v>25000</v>
      </c>
      <c r="M116" s="54" t="s">
        <v>234</v>
      </c>
      <c r="N116" s="108" t="s">
        <v>235</v>
      </c>
      <c r="O116" s="54" t="s">
        <v>236</v>
      </c>
      <c r="P116" s="67" t="s">
        <v>42</v>
      </c>
      <c r="Q116" s="54" t="s">
        <v>1679</v>
      </c>
      <c r="R116" s="182">
        <v>25000</v>
      </c>
      <c r="S116" s="178">
        <v>25000</v>
      </c>
      <c r="T116" s="178">
        <v>25000</v>
      </c>
      <c r="U116" s="183">
        <v>25000</v>
      </c>
      <c r="V116" s="59">
        <v>3836839548</v>
      </c>
      <c r="W116" s="60"/>
      <c r="X116" s="60"/>
      <c r="Y116" s="60"/>
      <c r="Z116" s="60"/>
      <c r="AA116" s="61"/>
      <c r="AB116" s="62">
        <f>(4888551696*4%)+4888551696</f>
        <v>5084093763.8400002</v>
      </c>
      <c r="AC116" s="60"/>
      <c r="AD116" s="60"/>
      <c r="AE116" s="60"/>
      <c r="AF116" s="60"/>
      <c r="AG116" s="60"/>
      <c r="AH116" s="63"/>
      <c r="AI116" s="62">
        <v>3287457514.3936</v>
      </c>
      <c r="AJ116" s="60"/>
      <c r="AK116" s="60"/>
      <c r="AL116" s="60"/>
      <c r="AM116" s="60"/>
      <c r="AN116" s="60"/>
      <c r="AO116" s="63"/>
      <c r="AP116" s="62">
        <f>((AI116*4%)+AI116)</f>
        <v>3418955814.9693441</v>
      </c>
      <c r="AQ116" s="60"/>
      <c r="AR116" s="60"/>
      <c r="AS116" s="60"/>
      <c r="AT116" s="60"/>
      <c r="AU116" s="60"/>
      <c r="AV116" s="64"/>
      <c r="AW116" s="55">
        <f t="shared" si="6"/>
        <v>3836839548</v>
      </c>
      <c r="AX116" s="55">
        <f t="shared" si="7"/>
        <v>5084093763.8400002</v>
      </c>
      <c r="AY116" s="55">
        <f t="shared" si="8"/>
        <v>3287457514.3936</v>
      </c>
      <c r="AZ116" s="55">
        <f t="shared" si="9"/>
        <v>3418955814.9693441</v>
      </c>
      <c r="BA116" s="55">
        <f t="shared" si="10"/>
        <v>15627346641.202946</v>
      </c>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row>
    <row r="117" spans="1:133" s="18" customFormat="1" ht="94.5" x14ac:dyDescent="0.25">
      <c r="A117" s="148" t="s">
        <v>28</v>
      </c>
      <c r="B117" s="56" t="s">
        <v>229</v>
      </c>
      <c r="C117" s="56" t="s">
        <v>270</v>
      </c>
      <c r="D117" s="56" t="s">
        <v>271</v>
      </c>
      <c r="E117" s="89">
        <v>2.1999999999999999E-2</v>
      </c>
      <c r="F117" s="89">
        <v>1.6E-2</v>
      </c>
      <c r="G117" s="108" t="s">
        <v>280</v>
      </c>
      <c r="H117" s="108" t="s">
        <v>1254</v>
      </c>
      <c r="I117" s="108" t="s">
        <v>281</v>
      </c>
      <c r="J117" s="108" t="s">
        <v>1683</v>
      </c>
      <c r="K117" s="178">
        <v>26</v>
      </c>
      <c r="L117" s="178">
        <v>5</v>
      </c>
      <c r="M117" s="54" t="s">
        <v>234</v>
      </c>
      <c r="N117" s="100" t="s">
        <v>235</v>
      </c>
      <c r="O117" s="54" t="s">
        <v>236</v>
      </c>
      <c r="P117" s="72" t="s">
        <v>39</v>
      </c>
      <c r="Q117" s="167" t="s">
        <v>1680</v>
      </c>
      <c r="R117" s="182">
        <v>0</v>
      </c>
      <c r="S117" s="178">
        <v>2</v>
      </c>
      <c r="T117" s="178">
        <v>3</v>
      </c>
      <c r="U117" s="183">
        <v>0</v>
      </c>
      <c r="V117" s="59"/>
      <c r="W117" s="60"/>
      <c r="X117" s="60"/>
      <c r="Y117" s="60"/>
      <c r="Z117" s="60"/>
      <c r="AA117" s="61"/>
      <c r="AB117" s="62">
        <f>((3000000000*2)*4%)+V117*2</f>
        <v>240000000</v>
      </c>
      <c r="AC117" s="60"/>
      <c r="AD117" s="60"/>
      <c r="AE117" s="60"/>
      <c r="AF117" s="60"/>
      <c r="AG117" s="60"/>
      <c r="AH117" s="63"/>
      <c r="AI117" s="62">
        <v>249600000</v>
      </c>
      <c r="AJ117" s="60"/>
      <c r="AK117" s="60"/>
      <c r="AL117" s="60"/>
      <c r="AM117" s="60"/>
      <c r="AN117" s="60"/>
      <c r="AO117" s="63"/>
      <c r="AP117" s="62"/>
      <c r="AQ117" s="60"/>
      <c r="AR117" s="60"/>
      <c r="AS117" s="60"/>
      <c r="AT117" s="60"/>
      <c r="AU117" s="60"/>
      <c r="AV117" s="64"/>
      <c r="AW117" s="55">
        <f t="shared" si="6"/>
        <v>0</v>
      </c>
      <c r="AX117" s="55">
        <f t="shared" si="7"/>
        <v>240000000</v>
      </c>
      <c r="AY117" s="55">
        <f t="shared" si="8"/>
        <v>249600000</v>
      </c>
      <c r="AZ117" s="55">
        <f t="shared" si="9"/>
        <v>0</v>
      </c>
      <c r="BA117" s="55">
        <f t="shared" si="10"/>
        <v>489600000</v>
      </c>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row>
    <row r="118" spans="1:133" s="6" customFormat="1" ht="94.5" x14ac:dyDescent="0.25">
      <c r="A118" s="148" t="s">
        <v>28</v>
      </c>
      <c r="B118" s="56" t="s">
        <v>229</v>
      </c>
      <c r="C118" s="56" t="s">
        <v>282</v>
      </c>
      <c r="D118" s="56" t="s">
        <v>271</v>
      </c>
      <c r="E118" s="89">
        <v>2.1999999999999999E-2</v>
      </c>
      <c r="F118" s="89">
        <v>1.6E-2</v>
      </c>
      <c r="G118" s="108" t="s">
        <v>283</v>
      </c>
      <c r="H118" s="108" t="s">
        <v>1255</v>
      </c>
      <c r="I118" s="108" t="s">
        <v>284</v>
      </c>
      <c r="J118" s="108" t="s">
        <v>1683</v>
      </c>
      <c r="K118" s="178">
        <v>550</v>
      </c>
      <c r="L118" s="178">
        <v>2000</v>
      </c>
      <c r="M118" s="54" t="s">
        <v>234</v>
      </c>
      <c r="N118" s="100" t="s">
        <v>235</v>
      </c>
      <c r="O118" s="54" t="s">
        <v>236</v>
      </c>
      <c r="P118" s="67" t="s">
        <v>39</v>
      </c>
      <c r="Q118" s="166" t="s">
        <v>1680</v>
      </c>
      <c r="R118" s="182">
        <v>500</v>
      </c>
      <c r="S118" s="178">
        <v>500</v>
      </c>
      <c r="T118" s="178">
        <v>500</v>
      </c>
      <c r="U118" s="183">
        <v>500</v>
      </c>
      <c r="V118" s="59">
        <v>91500000</v>
      </c>
      <c r="W118" s="60"/>
      <c r="X118" s="60"/>
      <c r="Y118" s="60"/>
      <c r="Z118" s="60"/>
      <c r="AA118" s="61"/>
      <c r="AB118" s="62">
        <f>(((V118*4%)+V118))</f>
        <v>95160000</v>
      </c>
      <c r="AC118" s="60"/>
      <c r="AD118" s="60"/>
      <c r="AE118" s="60"/>
      <c r="AF118" s="60"/>
      <c r="AG118" s="60"/>
      <c r="AH118" s="63"/>
      <c r="AI118" s="62">
        <v>378824061.824</v>
      </c>
      <c r="AJ118" s="60"/>
      <c r="AK118" s="60"/>
      <c r="AL118" s="60"/>
      <c r="AM118" s="60"/>
      <c r="AN118" s="60"/>
      <c r="AO118" s="63"/>
      <c r="AP118" s="62">
        <f t="shared" ref="AP118:AP124" si="11">(((AI118*4%)+AI118))</f>
        <v>393977024.29696</v>
      </c>
      <c r="AQ118" s="60"/>
      <c r="AR118" s="60"/>
      <c r="AS118" s="60"/>
      <c r="AT118" s="60"/>
      <c r="AU118" s="60"/>
      <c r="AV118" s="64"/>
      <c r="AW118" s="55">
        <f t="shared" si="6"/>
        <v>91500000</v>
      </c>
      <c r="AX118" s="55">
        <f t="shared" si="7"/>
        <v>95160000</v>
      </c>
      <c r="AY118" s="55">
        <f t="shared" si="8"/>
        <v>378824061.824</v>
      </c>
      <c r="AZ118" s="55">
        <f t="shared" si="9"/>
        <v>393977024.29696</v>
      </c>
      <c r="BA118" s="55">
        <f t="shared" si="10"/>
        <v>959461086.12096</v>
      </c>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row>
    <row r="119" spans="1:133" s="18" customFormat="1" ht="94.5" x14ac:dyDescent="0.25">
      <c r="A119" s="148" t="s">
        <v>28</v>
      </c>
      <c r="B119" s="56" t="s">
        <v>229</v>
      </c>
      <c r="C119" s="56" t="s">
        <v>282</v>
      </c>
      <c r="D119" s="56" t="s">
        <v>271</v>
      </c>
      <c r="E119" s="89">
        <v>2.1999999999999999E-2</v>
      </c>
      <c r="F119" s="89">
        <v>1.6E-2</v>
      </c>
      <c r="G119" s="108" t="s">
        <v>285</v>
      </c>
      <c r="H119" s="108" t="s">
        <v>1256</v>
      </c>
      <c r="I119" s="108" t="s">
        <v>286</v>
      </c>
      <c r="J119" s="108" t="s">
        <v>1682</v>
      </c>
      <c r="K119" s="178">
        <v>100</v>
      </c>
      <c r="L119" s="179">
        <v>100</v>
      </c>
      <c r="M119" s="54" t="s">
        <v>234</v>
      </c>
      <c r="N119" s="108" t="s">
        <v>235</v>
      </c>
      <c r="O119" s="54" t="s">
        <v>236</v>
      </c>
      <c r="P119" s="67" t="s">
        <v>42</v>
      </c>
      <c r="Q119" s="54" t="s">
        <v>1679</v>
      </c>
      <c r="R119" s="182">
        <v>100</v>
      </c>
      <c r="S119" s="178">
        <v>100</v>
      </c>
      <c r="T119" s="178">
        <v>100</v>
      </c>
      <c r="U119" s="183">
        <v>100</v>
      </c>
      <c r="V119" s="59">
        <v>458000000</v>
      </c>
      <c r="W119" s="60"/>
      <c r="X119" s="60"/>
      <c r="Y119" s="60"/>
      <c r="Z119" s="60"/>
      <c r="AA119" s="61"/>
      <c r="AB119" s="62">
        <f>(((V119*4%)+V119))</f>
        <v>476320000</v>
      </c>
      <c r="AC119" s="60"/>
      <c r="AD119" s="60"/>
      <c r="AE119" s="60"/>
      <c r="AF119" s="60"/>
      <c r="AG119" s="60"/>
      <c r="AH119" s="63"/>
      <c r="AI119" s="62">
        <v>938850432</v>
      </c>
      <c r="AJ119" s="60"/>
      <c r="AK119" s="60"/>
      <c r="AL119" s="60"/>
      <c r="AM119" s="60"/>
      <c r="AN119" s="60"/>
      <c r="AO119" s="63"/>
      <c r="AP119" s="62">
        <f t="shared" si="11"/>
        <v>976404449.27999997</v>
      </c>
      <c r="AQ119" s="60"/>
      <c r="AR119" s="60"/>
      <c r="AS119" s="60"/>
      <c r="AT119" s="60"/>
      <c r="AU119" s="60"/>
      <c r="AV119" s="64"/>
      <c r="AW119" s="55">
        <f t="shared" si="6"/>
        <v>458000000</v>
      </c>
      <c r="AX119" s="55">
        <f t="shared" si="7"/>
        <v>476320000</v>
      </c>
      <c r="AY119" s="55">
        <f t="shared" si="8"/>
        <v>938850432</v>
      </c>
      <c r="AZ119" s="55">
        <f t="shared" si="9"/>
        <v>976404449.27999997</v>
      </c>
      <c r="BA119" s="55">
        <f t="shared" si="10"/>
        <v>2849574881.2799997</v>
      </c>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row>
    <row r="120" spans="1:133" s="18" customFormat="1" ht="110.25" x14ac:dyDescent="0.25">
      <c r="A120" s="148" t="s">
        <v>28</v>
      </c>
      <c r="B120" s="56" t="s">
        <v>229</v>
      </c>
      <c r="C120" s="56" t="s">
        <v>282</v>
      </c>
      <c r="D120" s="56" t="s">
        <v>271</v>
      </c>
      <c r="E120" s="89">
        <v>2.1999999999999999E-2</v>
      </c>
      <c r="F120" s="89">
        <v>1.6E-2</v>
      </c>
      <c r="G120" s="108" t="s">
        <v>287</v>
      </c>
      <c r="H120" s="108" t="s">
        <v>1257</v>
      </c>
      <c r="I120" s="108" t="s">
        <v>288</v>
      </c>
      <c r="J120" s="108" t="s">
        <v>1682</v>
      </c>
      <c r="K120" s="178">
        <v>0</v>
      </c>
      <c r="L120" s="179">
        <v>100</v>
      </c>
      <c r="M120" s="54" t="s">
        <v>234</v>
      </c>
      <c r="N120" s="108" t="s">
        <v>235</v>
      </c>
      <c r="O120" s="54" t="s">
        <v>236</v>
      </c>
      <c r="P120" s="72" t="s">
        <v>39</v>
      </c>
      <c r="Q120" s="167" t="s">
        <v>1680</v>
      </c>
      <c r="R120" s="182">
        <v>0</v>
      </c>
      <c r="S120" s="178">
        <v>30</v>
      </c>
      <c r="T120" s="178">
        <v>30</v>
      </c>
      <c r="U120" s="183">
        <v>40</v>
      </c>
      <c r="V120" s="59"/>
      <c r="W120" s="60"/>
      <c r="X120" s="60"/>
      <c r="Y120" s="60"/>
      <c r="Z120" s="60"/>
      <c r="AA120" s="61"/>
      <c r="AB120" s="62">
        <v>128211200</v>
      </c>
      <c r="AC120" s="60"/>
      <c r="AD120" s="60"/>
      <c r="AE120" s="60"/>
      <c r="AF120" s="60"/>
      <c r="AG120" s="60"/>
      <c r="AH120" s="63"/>
      <c r="AI120" s="62">
        <v>133339648</v>
      </c>
      <c r="AJ120" s="60"/>
      <c r="AK120" s="60"/>
      <c r="AL120" s="60"/>
      <c r="AM120" s="60"/>
      <c r="AN120" s="60"/>
      <c r="AO120" s="63"/>
      <c r="AP120" s="62">
        <f t="shared" si="11"/>
        <v>138673233.91999999</v>
      </c>
      <c r="AQ120" s="60"/>
      <c r="AR120" s="60"/>
      <c r="AS120" s="60"/>
      <c r="AT120" s="60"/>
      <c r="AU120" s="60"/>
      <c r="AV120" s="64"/>
      <c r="AW120" s="55">
        <f t="shared" si="6"/>
        <v>0</v>
      </c>
      <c r="AX120" s="55">
        <f t="shared" si="7"/>
        <v>128211200</v>
      </c>
      <c r="AY120" s="55">
        <f t="shared" si="8"/>
        <v>133339648</v>
      </c>
      <c r="AZ120" s="55">
        <f t="shared" si="9"/>
        <v>138673233.91999999</v>
      </c>
      <c r="BA120" s="55">
        <f t="shared" si="10"/>
        <v>400224081.91999996</v>
      </c>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row>
    <row r="121" spans="1:133" s="3" customFormat="1" ht="94.5" x14ac:dyDescent="0.25">
      <c r="A121" s="148" t="s">
        <v>28</v>
      </c>
      <c r="B121" s="56" t="s">
        <v>229</v>
      </c>
      <c r="C121" s="56" t="s">
        <v>289</v>
      </c>
      <c r="D121" s="56" t="s">
        <v>271</v>
      </c>
      <c r="E121" s="89">
        <v>2.1999999999999999E-2</v>
      </c>
      <c r="F121" s="89">
        <v>1.6E-2</v>
      </c>
      <c r="G121" s="108" t="s">
        <v>290</v>
      </c>
      <c r="H121" s="108" t="s">
        <v>1258</v>
      </c>
      <c r="I121" s="108" t="s">
        <v>291</v>
      </c>
      <c r="J121" s="108" t="s">
        <v>1682</v>
      </c>
      <c r="K121" s="178">
        <v>100</v>
      </c>
      <c r="L121" s="179">
        <v>100</v>
      </c>
      <c r="M121" s="54" t="s">
        <v>234</v>
      </c>
      <c r="N121" s="108" t="s">
        <v>235</v>
      </c>
      <c r="O121" s="54" t="s">
        <v>236</v>
      </c>
      <c r="P121" s="67" t="s">
        <v>42</v>
      </c>
      <c r="Q121" s="54" t="s">
        <v>1679</v>
      </c>
      <c r="R121" s="182">
        <v>100</v>
      </c>
      <c r="S121" s="178">
        <v>100</v>
      </c>
      <c r="T121" s="178">
        <v>100</v>
      </c>
      <c r="U121" s="183">
        <v>100</v>
      </c>
      <c r="V121" s="59">
        <v>284951600</v>
      </c>
      <c r="W121" s="60"/>
      <c r="X121" s="60"/>
      <c r="Y121" s="60"/>
      <c r="Z121" s="60"/>
      <c r="AA121" s="61"/>
      <c r="AB121" s="62">
        <f>(((V121*4%)+V121))</f>
        <v>296349664</v>
      </c>
      <c r="AC121" s="60"/>
      <c r="AD121" s="60"/>
      <c r="AE121" s="60"/>
      <c r="AF121" s="60"/>
      <c r="AG121" s="60"/>
      <c r="AH121" s="63"/>
      <c r="AI121" s="62">
        <f>(((AB121*4%)+AB121))</f>
        <v>308203650.56</v>
      </c>
      <c r="AJ121" s="60"/>
      <c r="AK121" s="60"/>
      <c r="AL121" s="60"/>
      <c r="AM121" s="60"/>
      <c r="AN121" s="60"/>
      <c r="AO121" s="63"/>
      <c r="AP121" s="62">
        <f t="shared" si="11"/>
        <v>320531796.58240002</v>
      </c>
      <c r="AQ121" s="60"/>
      <c r="AR121" s="60"/>
      <c r="AS121" s="60"/>
      <c r="AT121" s="60"/>
      <c r="AU121" s="60"/>
      <c r="AV121" s="64"/>
      <c r="AW121" s="55">
        <f t="shared" si="6"/>
        <v>284951600</v>
      </c>
      <c r="AX121" s="55">
        <f t="shared" si="7"/>
        <v>296349664</v>
      </c>
      <c r="AY121" s="55">
        <f t="shared" si="8"/>
        <v>308203650.56</v>
      </c>
      <c r="AZ121" s="55">
        <f t="shared" si="9"/>
        <v>320531796.58240002</v>
      </c>
      <c r="BA121" s="55">
        <f t="shared" si="10"/>
        <v>1210036711.1424</v>
      </c>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row>
    <row r="122" spans="1:133" s="18" customFormat="1" ht="110.25" x14ac:dyDescent="0.25">
      <c r="A122" s="148" t="s">
        <v>28</v>
      </c>
      <c r="B122" s="56" t="s">
        <v>229</v>
      </c>
      <c r="C122" s="56" t="s">
        <v>289</v>
      </c>
      <c r="D122" s="56" t="s">
        <v>271</v>
      </c>
      <c r="E122" s="89">
        <v>2.1999999999999999E-2</v>
      </c>
      <c r="F122" s="89">
        <v>1.6E-2</v>
      </c>
      <c r="G122" s="108" t="s">
        <v>292</v>
      </c>
      <c r="H122" s="108" t="s">
        <v>1259</v>
      </c>
      <c r="I122" s="108" t="s">
        <v>293</v>
      </c>
      <c r="J122" s="108" t="s">
        <v>1682</v>
      </c>
      <c r="K122" s="178">
        <v>0</v>
      </c>
      <c r="L122" s="179">
        <v>100</v>
      </c>
      <c r="M122" s="54" t="s">
        <v>234</v>
      </c>
      <c r="N122" s="108" t="s">
        <v>235</v>
      </c>
      <c r="O122" s="54" t="s">
        <v>236</v>
      </c>
      <c r="P122" s="72" t="s">
        <v>39</v>
      </c>
      <c r="Q122" s="167" t="s">
        <v>1680</v>
      </c>
      <c r="R122" s="182">
        <v>0</v>
      </c>
      <c r="S122" s="178">
        <v>30</v>
      </c>
      <c r="T122" s="178">
        <v>30</v>
      </c>
      <c r="U122" s="183">
        <v>40</v>
      </c>
      <c r="V122" s="59"/>
      <c r="W122" s="60"/>
      <c r="X122" s="60"/>
      <c r="Y122" s="60"/>
      <c r="Z122" s="60"/>
      <c r="AA122" s="61"/>
      <c r="AB122" s="62">
        <v>260000000</v>
      </c>
      <c r="AC122" s="60"/>
      <c r="AD122" s="60"/>
      <c r="AE122" s="60"/>
      <c r="AF122" s="60"/>
      <c r="AG122" s="60"/>
      <c r="AH122" s="63"/>
      <c r="AI122" s="62">
        <f>(((AB122*4%)+AB122))</f>
        <v>270400000</v>
      </c>
      <c r="AJ122" s="60"/>
      <c r="AK122" s="60"/>
      <c r="AL122" s="60"/>
      <c r="AM122" s="60"/>
      <c r="AN122" s="60"/>
      <c r="AO122" s="63"/>
      <c r="AP122" s="62">
        <f t="shared" si="11"/>
        <v>281216000</v>
      </c>
      <c r="AQ122" s="60"/>
      <c r="AR122" s="60"/>
      <c r="AS122" s="60"/>
      <c r="AT122" s="60"/>
      <c r="AU122" s="60"/>
      <c r="AV122" s="64"/>
      <c r="AW122" s="55">
        <f t="shared" si="6"/>
        <v>0</v>
      </c>
      <c r="AX122" s="55">
        <f t="shared" si="7"/>
        <v>260000000</v>
      </c>
      <c r="AY122" s="55">
        <f t="shared" si="8"/>
        <v>270400000</v>
      </c>
      <c r="AZ122" s="55">
        <f t="shared" si="9"/>
        <v>281216000</v>
      </c>
      <c r="BA122" s="55">
        <f t="shared" si="10"/>
        <v>811616000</v>
      </c>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row>
    <row r="123" spans="1:133" s="18" customFormat="1" ht="94.5" x14ac:dyDescent="0.25">
      <c r="A123" s="148" t="s">
        <v>28</v>
      </c>
      <c r="B123" s="56" t="s">
        <v>229</v>
      </c>
      <c r="C123" s="56" t="s">
        <v>289</v>
      </c>
      <c r="D123" s="56" t="s">
        <v>271</v>
      </c>
      <c r="E123" s="89">
        <v>2.1999999999999999E-2</v>
      </c>
      <c r="F123" s="89">
        <v>1.6E-2</v>
      </c>
      <c r="G123" s="108" t="s">
        <v>294</v>
      </c>
      <c r="H123" s="108" t="s">
        <v>1260</v>
      </c>
      <c r="I123" s="108" t="s">
        <v>295</v>
      </c>
      <c r="J123" s="108" t="s">
        <v>1682</v>
      </c>
      <c r="K123" s="178">
        <v>0</v>
      </c>
      <c r="L123" s="179">
        <v>100</v>
      </c>
      <c r="M123" s="54" t="s">
        <v>234</v>
      </c>
      <c r="N123" s="108" t="s">
        <v>235</v>
      </c>
      <c r="O123" s="54" t="s">
        <v>236</v>
      </c>
      <c r="P123" s="67" t="s">
        <v>42</v>
      </c>
      <c r="Q123" s="54" t="s">
        <v>1679</v>
      </c>
      <c r="R123" s="182">
        <v>100</v>
      </c>
      <c r="S123" s="178">
        <v>100</v>
      </c>
      <c r="T123" s="178">
        <v>100</v>
      </c>
      <c r="U123" s="183">
        <v>100</v>
      </c>
      <c r="V123" s="59">
        <v>87778030</v>
      </c>
      <c r="W123" s="60"/>
      <c r="X123" s="60"/>
      <c r="Y123" s="60"/>
      <c r="Z123" s="60"/>
      <c r="AA123" s="61"/>
      <c r="AB123" s="62">
        <f>(((V123*4%)+V123))</f>
        <v>91289151.200000003</v>
      </c>
      <c r="AC123" s="60"/>
      <c r="AD123" s="60"/>
      <c r="AE123" s="60"/>
      <c r="AF123" s="60"/>
      <c r="AG123" s="60"/>
      <c r="AH123" s="63"/>
      <c r="AI123" s="62">
        <f>(((AB123*4%)+AB123))</f>
        <v>94940717.247999996</v>
      </c>
      <c r="AJ123" s="60"/>
      <c r="AK123" s="60"/>
      <c r="AL123" s="60"/>
      <c r="AM123" s="60"/>
      <c r="AN123" s="60"/>
      <c r="AO123" s="63"/>
      <c r="AP123" s="62">
        <f t="shared" si="11"/>
        <v>98738345.937919989</v>
      </c>
      <c r="AQ123" s="60"/>
      <c r="AR123" s="60"/>
      <c r="AS123" s="60"/>
      <c r="AT123" s="60"/>
      <c r="AU123" s="60"/>
      <c r="AV123" s="64"/>
      <c r="AW123" s="55">
        <f t="shared" si="6"/>
        <v>87778030</v>
      </c>
      <c r="AX123" s="55">
        <f t="shared" si="7"/>
        <v>91289151.200000003</v>
      </c>
      <c r="AY123" s="55">
        <f t="shared" si="8"/>
        <v>94940717.247999996</v>
      </c>
      <c r="AZ123" s="55">
        <f t="shared" si="9"/>
        <v>98738345.937919989</v>
      </c>
      <c r="BA123" s="55">
        <f t="shared" si="10"/>
        <v>372746244.38591993</v>
      </c>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row>
    <row r="124" spans="1:133" s="18" customFormat="1" ht="94.5" x14ac:dyDescent="0.25">
      <c r="A124" s="148" t="s">
        <v>28</v>
      </c>
      <c r="B124" s="56" t="s">
        <v>229</v>
      </c>
      <c r="C124" s="56" t="s">
        <v>289</v>
      </c>
      <c r="D124" s="56" t="s">
        <v>271</v>
      </c>
      <c r="E124" s="89">
        <v>2.1999999999999999E-2</v>
      </c>
      <c r="F124" s="89">
        <v>1.6E-2</v>
      </c>
      <c r="G124" s="108" t="s">
        <v>296</v>
      </c>
      <c r="H124" s="108" t="s">
        <v>1261</v>
      </c>
      <c r="I124" s="108" t="s">
        <v>297</v>
      </c>
      <c r="J124" s="108" t="s">
        <v>1683</v>
      </c>
      <c r="K124" s="178">
        <v>2200</v>
      </c>
      <c r="L124" s="178">
        <v>2200</v>
      </c>
      <c r="M124" s="54" t="s">
        <v>234</v>
      </c>
      <c r="N124" s="108" t="s">
        <v>235</v>
      </c>
      <c r="O124" s="54" t="s">
        <v>236</v>
      </c>
      <c r="P124" s="67" t="s">
        <v>42</v>
      </c>
      <c r="Q124" s="54" t="s">
        <v>1679</v>
      </c>
      <c r="R124" s="182">
        <v>2200</v>
      </c>
      <c r="S124" s="178">
        <v>2200</v>
      </c>
      <c r="T124" s="178">
        <v>2200</v>
      </c>
      <c r="U124" s="183">
        <v>2200</v>
      </c>
      <c r="V124" s="59">
        <v>552515969</v>
      </c>
      <c r="W124" s="60"/>
      <c r="X124" s="60"/>
      <c r="Y124" s="60"/>
      <c r="Z124" s="60"/>
      <c r="AA124" s="61"/>
      <c r="AB124" s="62">
        <f>(((V124*4%)+V124))</f>
        <v>574616607.75999999</v>
      </c>
      <c r="AC124" s="60"/>
      <c r="AD124" s="60"/>
      <c r="AE124" s="60"/>
      <c r="AF124" s="60"/>
      <c r="AG124" s="60"/>
      <c r="AH124" s="63"/>
      <c r="AI124" s="62">
        <f>(((AB124*4%)+AB124))</f>
        <v>597601272.0704</v>
      </c>
      <c r="AJ124" s="60"/>
      <c r="AK124" s="60"/>
      <c r="AL124" s="60"/>
      <c r="AM124" s="60"/>
      <c r="AN124" s="60"/>
      <c r="AO124" s="63"/>
      <c r="AP124" s="62">
        <f t="shared" si="11"/>
        <v>621505322.95321596</v>
      </c>
      <c r="AQ124" s="60"/>
      <c r="AR124" s="60"/>
      <c r="AS124" s="60"/>
      <c r="AT124" s="60"/>
      <c r="AU124" s="60"/>
      <c r="AV124" s="64"/>
      <c r="AW124" s="55">
        <f t="shared" si="6"/>
        <v>552515969</v>
      </c>
      <c r="AX124" s="55">
        <f t="shared" si="7"/>
        <v>574616607.75999999</v>
      </c>
      <c r="AY124" s="55">
        <f t="shared" si="8"/>
        <v>597601272.0704</v>
      </c>
      <c r="AZ124" s="55">
        <f t="shared" si="9"/>
        <v>621505322.95321596</v>
      </c>
      <c r="BA124" s="55">
        <f t="shared" si="10"/>
        <v>2346239171.7836161</v>
      </c>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row>
    <row r="125" spans="1:133" s="3" customFormat="1" ht="94.5" x14ac:dyDescent="0.25">
      <c r="A125" s="148" t="s">
        <v>28</v>
      </c>
      <c r="B125" s="56" t="s">
        <v>229</v>
      </c>
      <c r="C125" s="56" t="s">
        <v>298</v>
      </c>
      <c r="D125" s="56" t="s">
        <v>299</v>
      </c>
      <c r="E125" s="56">
        <v>1134</v>
      </c>
      <c r="F125" s="56">
        <v>900</v>
      </c>
      <c r="G125" s="66" t="s">
        <v>300</v>
      </c>
      <c r="H125" s="66" t="s">
        <v>1262</v>
      </c>
      <c r="I125" s="108" t="s">
        <v>301</v>
      </c>
      <c r="J125" s="108" t="s">
        <v>1682</v>
      </c>
      <c r="K125" s="178">
        <v>100</v>
      </c>
      <c r="L125" s="179">
        <v>100</v>
      </c>
      <c r="M125" s="54" t="s">
        <v>302</v>
      </c>
      <c r="N125" s="108" t="s">
        <v>303</v>
      </c>
      <c r="O125" s="54" t="s">
        <v>236</v>
      </c>
      <c r="P125" s="67" t="s">
        <v>42</v>
      </c>
      <c r="Q125" s="54" t="s">
        <v>1679</v>
      </c>
      <c r="R125" s="182">
        <v>100</v>
      </c>
      <c r="S125" s="178">
        <v>100</v>
      </c>
      <c r="T125" s="178">
        <v>100</v>
      </c>
      <c r="U125" s="183">
        <v>100</v>
      </c>
      <c r="V125" s="59">
        <v>260000000</v>
      </c>
      <c r="W125" s="60"/>
      <c r="X125" s="60"/>
      <c r="Y125" s="60"/>
      <c r="Z125" s="60"/>
      <c r="AA125" s="61"/>
      <c r="AB125" s="62">
        <v>790000000</v>
      </c>
      <c r="AC125" s="60"/>
      <c r="AD125" s="60"/>
      <c r="AE125" s="60"/>
      <c r="AF125" s="60"/>
      <c r="AG125" s="60"/>
      <c r="AH125" s="63"/>
      <c r="AI125" s="62">
        <v>790000000</v>
      </c>
      <c r="AJ125" s="60"/>
      <c r="AK125" s="60"/>
      <c r="AL125" s="60"/>
      <c r="AM125" s="60"/>
      <c r="AN125" s="60"/>
      <c r="AO125" s="63"/>
      <c r="AP125" s="62">
        <v>790000000</v>
      </c>
      <c r="AQ125" s="60"/>
      <c r="AR125" s="60"/>
      <c r="AS125" s="60"/>
      <c r="AT125" s="60"/>
      <c r="AU125" s="60"/>
      <c r="AV125" s="64"/>
      <c r="AW125" s="55">
        <f t="shared" si="6"/>
        <v>260000000</v>
      </c>
      <c r="AX125" s="55">
        <f t="shared" si="7"/>
        <v>790000000</v>
      </c>
      <c r="AY125" s="55">
        <f t="shared" si="8"/>
        <v>790000000</v>
      </c>
      <c r="AZ125" s="55">
        <f t="shared" si="9"/>
        <v>790000000</v>
      </c>
      <c r="BA125" s="55">
        <f t="shared" si="10"/>
        <v>2630000000</v>
      </c>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row>
    <row r="126" spans="1:133" s="15" customFormat="1" ht="94.5" x14ac:dyDescent="0.25">
      <c r="A126" s="148" t="s">
        <v>28</v>
      </c>
      <c r="B126" s="56" t="s">
        <v>229</v>
      </c>
      <c r="C126" s="56" t="s">
        <v>298</v>
      </c>
      <c r="D126" s="56" t="s">
        <v>299</v>
      </c>
      <c r="E126" s="56">
        <v>1134</v>
      </c>
      <c r="F126" s="56">
        <v>900</v>
      </c>
      <c r="G126" s="66" t="s">
        <v>300</v>
      </c>
      <c r="H126" s="66" t="s">
        <v>1263</v>
      </c>
      <c r="I126" s="108" t="s">
        <v>304</v>
      </c>
      <c r="J126" s="108" t="s">
        <v>1683</v>
      </c>
      <c r="K126" s="178">
        <v>1</v>
      </c>
      <c r="L126" s="178">
        <v>1</v>
      </c>
      <c r="M126" s="54" t="s">
        <v>302</v>
      </c>
      <c r="N126" s="108" t="s">
        <v>303</v>
      </c>
      <c r="O126" s="54" t="s">
        <v>236</v>
      </c>
      <c r="P126" s="67" t="s">
        <v>42</v>
      </c>
      <c r="Q126" s="54" t="s">
        <v>1679</v>
      </c>
      <c r="R126" s="187">
        <v>1</v>
      </c>
      <c r="S126" s="180">
        <v>1</v>
      </c>
      <c r="T126" s="180">
        <v>1</v>
      </c>
      <c r="U126" s="188">
        <v>1</v>
      </c>
      <c r="V126" s="59">
        <v>300000000</v>
      </c>
      <c r="W126" s="60"/>
      <c r="X126" s="60"/>
      <c r="Y126" s="60"/>
      <c r="Z126" s="60"/>
      <c r="AA126" s="61"/>
      <c r="AB126" s="62">
        <v>600000000</v>
      </c>
      <c r="AC126" s="60"/>
      <c r="AD126" s="60"/>
      <c r="AE126" s="60"/>
      <c r="AF126" s="60"/>
      <c r="AG126" s="60"/>
      <c r="AH126" s="63"/>
      <c r="AI126" s="62">
        <v>600000000</v>
      </c>
      <c r="AJ126" s="60"/>
      <c r="AK126" s="60"/>
      <c r="AL126" s="60"/>
      <c r="AM126" s="60"/>
      <c r="AN126" s="60"/>
      <c r="AO126" s="63"/>
      <c r="AP126" s="62">
        <v>600000000</v>
      </c>
      <c r="AQ126" s="60"/>
      <c r="AR126" s="60"/>
      <c r="AS126" s="60"/>
      <c r="AT126" s="60"/>
      <c r="AU126" s="60"/>
      <c r="AV126" s="64"/>
      <c r="AW126" s="55">
        <f t="shared" si="6"/>
        <v>300000000</v>
      </c>
      <c r="AX126" s="55">
        <f t="shared" si="7"/>
        <v>600000000</v>
      </c>
      <c r="AY126" s="55">
        <f t="shared" si="8"/>
        <v>600000000</v>
      </c>
      <c r="AZ126" s="55">
        <f t="shared" si="9"/>
        <v>600000000</v>
      </c>
      <c r="BA126" s="55">
        <f t="shared" si="10"/>
        <v>2100000000</v>
      </c>
    </row>
    <row r="127" spans="1:133" s="27" customFormat="1" ht="94.5" x14ac:dyDescent="0.25">
      <c r="A127" s="148" t="s">
        <v>28</v>
      </c>
      <c r="B127" s="56" t="s">
        <v>229</v>
      </c>
      <c r="C127" s="56" t="s">
        <v>298</v>
      </c>
      <c r="D127" s="56" t="s">
        <v>299</v>
      </c>
      <c r="E127" s="56">
        <v>1134</v>
      </c>
      <c r="F127" s="56">
        <v>900</v>
      </c>
      <c r="G127" s="66" t="s">
        <v>300</v>
      </c>
      <c r="H127" s="66" t="s">
        <v>1264</v>
      </c>
      <c r="I127" s="83" t="s">
        <v>305</v>
      </c>
      <c r="J127" s="83" t="s">
        <v>1683</v>
      </c>
      <c r="K127" s="180">
        <v>0</v>
      </c>
      <c r="L127" s="178">
        <v>1</v>
      </c>
      <c r="M127" s="54" t="s">
        <v>302</v>
      </c>
      <c r="N127" s="108" t="s">
        <v>303</v>
      </c>
      <c r="O127" s="54" t="s">
        <v>236</v>
      </c>
      <c r="P127" s="67" t="s">
        <v>42</v>
      </c>
      <c r="Q127" s="54" t="s">
        <v>1679</v>
      </c>
      <c r="R127" s="187">
        <v>1</v>
      </c>
      <c r="S127" s="180">
        <v>1</v>
      </c>
      <c r="T127" s="180">
        <v>1</v>
      </c>
      <c r="U127" s="188">
        <v>1</v>
      </c>
      <c r="V127" s="59">
        <v>375000000</v>
      </c>
      <c r="W127" s="60"/>
      <c r="X127" s="60"/>
      <c r="Y127" s="60"/>
      <c r="Z127" s="60"/>
      <c r="AA127" s="61"/>
      <c r="AB127" s="62">
        <v>800000000</v>
      </c>
      <c r="AC127" s="60"/>
      <c r="AD127" s="60"/>
      <c r="AE127" s="60"/>
      <c r="AF127" s="60"/>
      <c r="AG127" s="60"/>
      <c r="AH127" s="63"/>
      <c r="AI127" s="62">
        <v>800000000</v>
      </c>
      <c r="AJ127" s="60"/>
      <c r="AK127" s="60"/>
      <c r="AL127" s="60"/>
      <c r="AM127" s="60"/>
      <c r="AN127" s="60"/>
      <c r="AO127" s="63"/>
      <c r="AP127" s="62">
        <v>800000000</v>
      </c>
      <c r="AQ127" s="60"/>
      <c r="AR127" s="60"/>
      <c r="AS127" s="60"/>
      <c r="AT127" s="60"/>
      <c r="AU127" s="60"/>
      <c r="AV127" s="64"/>
      <c r="AW127" s="55">
        <f t="shared" si="6"/>
        <v>375000000</v>
      </c>
      <c r="AX127" s="55">
        <f t="shared" si="7"/>
        <v>800000000</v>
      </c>
      <c r="AY127" s="55">
        <f t="shared" si="8"/>
        <v>800000000</v>
      </c>
      <c r="AZ127" s="55">
        <f t="shared" si="9"/>
        <v>800000000</v>
      </c>
      <c r="BA127" s="55">
        <f t="shared" si="10"/>
        <v>2775000000</v>
      </c>
    </row>
    <row r="128" spans="1:133" s="16" customFormat="1" ht="173.25" x14ac:dyDescent="0.25">
      <c r="A128" s="148" t="s">
        <v>28</v>
      </c>
      <c r="B128" s="56" t="s">
        <v>229</v>
      </c>
      <c r="C128" s="56" t="s">
        <v>298</v>
      </c>
      <c r="D128" s="56" t="s">
        <v>299</v>
      </c>
      <c r="E128" s="56">
        <v>1134</v>
      </c>
      <c r="F128" s="56">
        <v>900</v>
      </c>
      <c r="G128" s="66" t="s">
        <v>300</v>
      </c>
      <c r="H128" s="66" t="s">
        <v>1146</v>
      </c>
      <c r="I128" s="108" t="s">
        <v>40</v>
      </c>
      <c r="J128" s="108" t="s">
        <v>1682</v>
      </c>
      <c r="K128" s="99"/>
      <c r="L128" s="179">
        <v>100</v>
      </c>
      <c r="M128" s="54" t="s">
        <v>302</v>
      </c>
      <c r="N128" s="108" t="s">
        <v>303</v>
      </c>
      <c r="O128" s="54" t="s">
        <v>236</v>
      </c>
      <c r="P128" s="67" t="s">
        <v>42</v>
      </c>
      <c r="Q128" s="54" t="s">
        <v>1679</v>
      </c>
      <c r="R128" s="182">
        <v>100</v>
      </c>
      <c r="S128" s="178">
        <v>100</v>
      </c>
      <c r="T128" s="178">
        <v>100</v>
      </c>
      <c r="U128" s="183">
        <v>100</v>
      </c>
      <c r="V128" s="59">
        <v>5200000</v>
      </c>
      <c r="W128" s="60"/>
      <c r="X128" s="60"/>
      <c r="Y128" s="60"/>
      <c r="Z128" s="60"/>
      <c r="AA128" s="61"/>
      <c r="AB128" s="62">
        <v>5600000</v>
      </c>
      <c r="AC128" s="60"/>
      <c r="AD128" s="60"/>
      <c r="AE128" s="60"/>
      <c r="AF128" s="60"/>
      <c r="AG128" s="60"/>
      <c r="AH128" s="63"/>
      <c r="AI128" s="62">
        <v>5600000</v>
      </c>
      <c r="AJ128" s="60"/>
      <c r="AK128" s="60"/>
      <c r="AL128" s="60"/>
      <c r="AM128" s="60"/>
      <c r="AN128" s="60"/>
      <c r="AO128" s="63"/>
      <c r="AP128" s="62">
        <v>5600000</v>
      </c>
      <c r="AQ128" s="60"/>
      <c r="AR128" s="60"/>
      <c r="AS128" s="60"/>
      <c r="AT128" s="60"/>
      <c r="AU128" s="60"/>
      <c r="AV128" s="64"/>
      <c r="AW128" s="55">
        <f t="shared" si="6"/>
        <v>5200000</v>
      </c>
      <c r="AX128" s="55">
        <f t="shared" si="7"/>
        <v>5600000</v>
      </c>
      <c r="AY128" s="55">
        <f t="shared" si="8"/>
        <v>5600000</v>
      </c>
      <c r="AZ128" s="55">
        <f t="shared" si="9"/>
        <v>5600000</v>
      </c>
      <c r="BA128" s="55">
        <f t="shared" si="10"/>
        <v>22000000</v>
      </c>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row>
    <row r="129" spans="1:133" s="26" customFormat="1" ht="94.5" x14ac:dyDescent="0.25">
      <c r="A129" s="148" t="s">
        <v>28</v>
      </c>
      <c r="B129" s="56" t="s">
        <v>229</v>
      </c>
      <c r="C129" s="56" t="s">
        <v>298</v>
      </c>
      <c r="D129" s="56" t="s">
        <v>299</v>
      </c>
      <c r="E129" s="56">
        <v>1134</v>
      </c>
      <c r="F129" s="56">
        <v>900</v>
      </c>
      <c r="G129" s="66" t="s">
        <v>306</v>
      </c>
      <c r="H129" s="66" t="s">
        <v>1265</v>
      </c>
      <c r="I129" s="84" t="s">
        <v>307</v>
      </c>
      <c r="J129" s="84" t="s">
        <v>1683</v>
      </c>
      <c r="K129" s="69">
        <v>31453</v>
      </c>
      <c r="L129" s="180">
        <v>32000</v>
      </c>
      <c r="M129" s="54" t="s">
        <v>302</v>
      </c>
      <c r="N129" s="108" t="s">
        <v>303</v>
      </c>
      <c r="O129" s="54" t="s">
        <v>236</v>
      </c>
      <c r="P129" s="78" t="s">
        <v>39</v>
      </c>
      <c r="Q129" s="170" t="s">
        <v>1680</v>
      </c>
      <c r="R129" s="182">
        <v>3000</v>
      </c>
      <c r="S129" s="178">
        <v>6000</v>
      </c>
      <c r="T129" s="178">
        <v>10000</v>
      </c>
      <c r="U129" s="183">
        <v>13000</v>
      </c>
      <c r="V129" s="59">
        <v>110000000</v>
      </c>
      <c r="W129" s="60"/>
      <c r="X129" s="60"/>
      <c r="Y129" s="60"/>
      <c r="Z129" s="60"/>
      <c r="AA129" s="61"/>
      <c r="AB129" s="62">
        <v>300000000</v>
      </c>
      <c r="AC129" s="60"/>
      <c r="AD129" s="60"/>
      <c r="AE129" s="60"/>
      <c r="AF129" s="60"/>
      <c r="AG129" s="60"/>
      <c r="AH129" s="63"/>
      <c r="AI129" s="62">
        <v>300000000</v>
      </c>
      <c r="AJ129" s="60"/>
      <c r="AK129" s="60"/>
      <c r="AL129" s="60"/>
      <c r="AM129" s="60"/>
      <c r="AN129" s="60"/>
      <c r="AO129" s="63"/>
      <c r="AP129" s="62">
        <v>300000000</v>
      </c>
      <c r="AQ129" s="60"/>
      <c r="AR129" s="60"/>
      <c r="AS129" s="60"/>
      <c r="AT129" s="60"/>
      <c r="AU129" s="60"/>
      <c r="AV129" s="64"/>
      <c r="AW129" s="55">
        <f t="shared" si="6"/>
        <v>110000000</v>
      </c>
      <c r="AX129" s="55">
        <f t="shared" si="7"/>
        <v>300000000</v>
      </c>
      <c r="AY129" s="55">
        <f t="shared" si="8"/>
        <v>300000000</v>
      </c>
      <c r="AZ129" s="55">
        <f t="shared" si="9"/>
        <v>300000000</v>
      </c>
      <c r="BA129" s="55">
        <f t="shared" si="10"/>
        <v>1010000000</v>
      </c>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c r="CX129" s="39"/>
      <c r="CY129" s="39"/>
      <c r="CZ129" s="39"/>
      <c r="DA129" s="39"/>
      <c r="DB129" s="39"/>
      <c r="DC129" s="39"/>
      <c r="DD129" s="39"/>
      <c r="DE129" s="39"/>
      <c r="DF129" s="39"/>
      <c r="DG129" s="39"/>
      <c r="DH129" s="39"/>
      <c r="DI129" s="39"/>
      <c r="DJ129" s="39"/>
      <c r="DK129" s="39"/>
      <c r="DL129" s="39"/>
      <c r="DM129" s="39"/>
      <c r="DN129" s="39"/>
      <c r="DO129" s="39"/>
      <c r="DP129" s="39"/>
      <c r="DQ129" s="39"/>
      <c r="DR129" s="39"/>
      <c r="DS129" s="39"/>
      <c r="DT129" s="39"/>
      <c r="DU129" s="39"/>
      <c r="DV129" s="39"/>
      <c r="DW129" s="39"/>
      <c r="DX129" s="39"/>
      <c r="DY129" s="39"/>
      <c r="DZ129" s="39"/>
      <c r="EA129" s="39"/>
      <c r="EB129" s="39"/>
      <c r="EC129" s="39"/>
    </row>
    <row r="130" spans="1:133" s="18" customFormat="1" ht="94.5" x14ac:dyDescent="0.25">
      <c r="A130" s="148" t="s">
        <v>28</v>
      </c>
      <c r="B130" s="56" t="s">
        <v>229</v>
      </c>
      <c r="C130" s="56" t="s">
        <v>298</v>
      </c>
      <c r="D130" s="56" t="s">
        <v>299</v>
      </c>
      <c r="E130" s="56">
        <v>1134</v>
      </c>
      <c r="F130" s="56">
        <v>900</v>
      </c>
      <c r="G130" s="66" t="s">
        <v>306</v>
      </c>
      <c r="H130" s="66" t="s">
        <v>1266</v>
      </c>
      <c r="I130" s="108" t="s">
        <v>308</v>
      </c>
      <c r="J130" s="108" t="s">
        <v>1683</v>
      </c>
      <c r="K130" s="99">
        <v>1200</v>
      </c>
      <c r="L130" s="178">
        <v>2000</v>
      </c>
      <c r="M130" s="54" t="s">
        <v>302</v>
      </c>
      <c r="N130" s="108" t="s">
        <v>303</v>
      </c>
      <c r="O130" s="54" t="s">
        <v>236</v>
      </c>
      <c r="P130" s="72" t="s">
        <v>39</v>
      </c>
      <c r="Q130" s="167" t="s">
        <v>1680</v>
      </c>
      <c r="R130" s="182">
        <v>0</v>
      </c>
      <c r="S130" s="178">
        <v>500</v>
      </c>
      <c r="T130" s="178">
        <v>700</v>
      </c>
      <c r="U130" s="183">
        <v>800</v>
      </c>
      <c r="V130" s="59">
        <v>0</v>
      </c>
      <c r="W130" s="60"/>
      <c r="X130" s="60"/>
      <c r="Y130" s="60"/>
      <c r="Z130" s="60"/>
      <c r="AA130" s="61"/>
      <c r="AB130" s="62">
        <v>300000000</v>
      </c>
      <c r="AC130" s="60"/>
      <c r="AD130" s="60"/>
      <c r="AE130" s="60"/>
      <c r="AF130" s="60"/>
      <c r="AG130" s="60"/>
      <c r="AH130" s="63"/>
      <c r="AI130" s="62">
        <v>300000000</v>
      </c>
      <c r="AJ130" s="60"/>
      <c r="AK130" s="60"/>
      <c r="AL130" s="60"/>
      <c r="AM130" s="60"/>
      <c r="AN130" s="60"/>
      <c r="AO130" s="63"/>
      <c r="AP130" s="62">
        <v>300000000</v>
      </c>
      <c r="AQ130" s="60"/>
      <c r="AR130" s="60"/>
      <c r="AS130" s="60"/>
      <c r="AT130" s="60"/>
      <c r="AU130" s="60"/>
      <c r="AV130" s="64"/>
      <c r="AW130" s="55">
        <f t="shared" si="6"/>
        <v>0</v>
      </c>
      <c r="AX130" s="55">
        <f t="shared" si="7"/>
        <v>300000000</v>
      </c>
      <c r="AY130" s="55">
        <f t="shared" si="8"/>
        <v>300000000</v>
      </c>
      <c r="AZ130" s="55">
        <f t="shared" si="9"/>
        <v>300000000</v>
      </c>
      <c r="BA130" s="55">
        <f t="shared" si="10"/>
        <v>900000000</v>
      </c>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row>
    <row r="131" spans="1:133" s="18" customFormat="1" ht="110.25" x14ac:dyDescent="0.25">
      <c r="A131" s="148" t="s">
        <v>28</v>
      </c>
      <c r="B131" s="56" t="s">
        <v>229</v>
      </c>
      <c r="C131" s="56" t="s">
        <v>298</v>
      </c>
      <c r="D131" s="56" t="s">
        <v>299</v>
      </c>
      <c r="E131" s="56">
        <v>1134</v>
      </c>
      <c r="F131" s="56">
        <v>900</v>
      </c>
      <c r="G131" s="66" t="s">
        <v>306</v>
      </c>
      <c r="H131" s="66" t="s">
        <v>1267</v>
      </c>
      <c r="I131" s="108" t="s">
        <v>309</v>
      </c>
      <c r="J131" s="108" t="s">
        <v>1683</v>
      </c>
      <c r="K131" s="99">
        <v>3600</v>
      </c>
      <c r="L131" s="178">
        <v>4000</v>
      </c>
      <c r="M131" s="54" t="s">
        <v>302</v>
      </c>
      <c r="N131" s="108" t="s">
        <v>303</v>
      </c>
      <c r="O131" s="54" t="s">
        <v>236</v>
      </c>
      <c r="P131" s="72" t="s">
        <v>39</v>
      </c>
      <c r="Q131" s="167" t="s">
        <v>1680</v>
      </c>
      <c r="R131" s="182">
        <v>400</v>
      </c>
      <c r="S131" s="178">
        <v>900</v>
      </c>
      <c r="T131" s="178">
        <v>1200</v>
      </c>
      <c r="U131" s="183">
        <v>1500</v>
      </c>
      <c r="V131" s="59">
        <v>70000000</v>
      </c>
      <c r="W131" s="60"/>
      <c r="X131" s="60"/>
      <c r="Y131" s="60"/>
      <c r="Z131" s="60"/>
      <c r="AA131" s="61"/>
      <c r="AB131" s="62">
        <v>300000000</v>
      </c>
      <c r="AC131" s="60"/>
      <c r="AD131" s="60"/>
      <c r="AE131" s="60"/>
      <c r="AF131" s="60"/>
      <c r="AG131" s="60"/>
      <c r="AH131" s="63"/>
      <c r="AI131" s="62">
        <v>300000000</v>
      </c>
      <c r="AJ131" s="60"/>
      <c r="AK131" s="60"/>
      <c r="AL131" s="60"/>
      <c r="AM131" s="60"/>
      <c r="AN131" s="60"/>
      <c r="AO131" s="63"/>
      <c r="AP131" s="62">
        <v>300000000</v>
      </c>
      <c r="AQ131" s="60"/>
      <c r="AR131" s="60"/>
      <c r="AS131" s="60"/>
      <c r="AT131" s="60"/>
      <c r="AU131" s="60"/>
      <c r="AV131" s="64"/>
      <c r="AW131" s="55">
        <f t="shared" si="6"/>
        <v>70000000</v>
      </c>
      <c r="AX131" s="55">
        <f t="shared" si="7"/>
        <v>300000000</v>
      </c>
      <c r="AY131" s="55">
        <f t="shared" si="8"/>
        <v>300000000</v>
      </c>
      <c r="AZ131" s="55">
        <f t="shared" si="9"/>
        <v>300000000</v>
      </c>
      <c r="BA131" s="55">
        <f t="shared" si="10"/>
        <v>970000000</v>
      </c>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row>
    <row r="132" spans="1:133" s="19" customFormat="1" ht="173.25" x14ac:dyDescent="0.25">
      <c r="A132" s="148" t="s">
        <v>28</v>
      </c>
      <c r="B132" s="56" t="s">
        <v>229</v>
      </c>
      <c r="C132" s="56" t="s">
        <v>298</v>
      </c>
      <c r="D132" s="56" t="s">
        <v>299</v>
      </c>
      <c r="E132" s="56">
        <v>1134</v>
      </c>
      <c r="F132" s="56">
        <v>900</v>
      </c>
      <c r="G132" s="66" t="s">
        <v>306</v>
      </c>
      <c r="H132" s="66" t="s">
        <v>1268</v>
      </c>
      <c r="I132" s="108" t="s">
        <v>310</v>
      </c>
      <c r="J132" s="108" t="s">
        <v>1683</v>
      </c>
      <c r="K132" s="99">
        <v>247</v>
      </c>
      <c r="L132" s="178">
        <v>2000</v>
      </c>
      <c r="M132" s="54" t="s">
        <v>302</v>
      </c>
      <c r="N132" s="108" t="s">
        <v>303</v>
      </c>
      <c r="O132" s="54" t="s">
        <v>236</v>
      </c>
      <c r="P132" s="72" t="s">
        <v>39</v>
      </c>
      <c r="Q132" s="167" t="s">
        <v>1680</v>
      </c>
      <c r="R132" s="182">
        <v>200</v>
      </c>
      <c r="S132" s="178">
        <v>300</v>
      </c>
      <c r="T132" s="178">
        <v>500</v>
      </c>
      <c r="U132" s="183">
        <v>1000</v>
      </c>
      <c r="V132" s="59">
        <v>60000000</v>
      </c>
      <c r="W132" s="60"/>
      <c r="X132" s="60"/>
      <c r="Y132" s="60"/>
      <c r="Z132" s="60"/>
      <c r="AA132" s="61"/>
      <c r="AB132" s="62">
        <v>300000000</v>
      </c>
      <c r="AC132" s="60"/>
      <c r="AD132" s="60"/>
      <c r="AE132" s="60"/>
      <c r="AF132" s="60"/>
      <c r="AG132" s="60"/>
      <c r="AH132" s="63"/>
      <c r="AI132" s="62">
        <v>300000000</v>
      </c>
      <c r="AJ132" s="60"/>
      <c r="AK132" s="60"/>
      <c r="AL132" s="60"/>
      <c r="AM132" s="60"/>
      <c r="AN132" s="60"/>
      <c r="AO132" s="63"/>
      <c r="AP132" s="62">
        <v>300000000</v>
      </c>
      <c r="AQ132" s="60"/>
      <c r="AR132" s="60"/>
      <c r="AS132" s="60"/>
      <c r="AT132" s="60"/>
      <c r="AU132" s="60"/>
      <c r="AV132" s="64"/>
      <c r="AW132" s="55">
        <f t="shared" ref="AW132:AW195" si="12">SUM(V132:AA132)</f>
        <v>60000000</v>
      </c>
      <c r="AX132" s="55">
        <f t="shared" ref="AX132:AX195" si="13">SUM(AB132:AH132)</f>
        <v>300000000</v>
      </c>
      <c r="AY132" s="55">
        <f t="shared" ref="AY132:AY195" si="14">SUM(AI132:AO132)</f>
        <v>300000000</v>
      </c>
      <c r="AZ132" s="55">
        <f t="shared" ref="AZ132:AZ195" si="15">SUM(AP132:AV132)</f>
        <v>300000000</v>
      </c>
      <c r="BA132" s="55">
        <f t="shared" ref="BA132:BA195" si="16">SUM(AW132:AZ132)</f>
        <v>960000000</v>
      </c>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row>
    <row r="133" spans="1:133" s="16" customFormat="1" ht="94.5" x14ac:dyDescent="0.25">
      <c r="A133" s="148" t="s">
        <v>28</v>
      </c>
      <c r="B133" s="56" t="s">
        <v>229</v>
      </c>
      <c r="C133" s="56" t="s">
        <v>298</v>
      </c>
      <c r="D133" s="56" t="s">
        <v>299</v>
      </c>
      <c r="E133" s="56">
        <v>1134</v>
      </c>
      <c r="F133" s="56">
        <v>900</v>
      </c>
      <c r="G133" s="66" t="s">
        <v>306</v>
      </c>
      <c r="H133" s="66" t="s">
        <v>1269</v>
      </c>
      <c r="I133" s="108" t="s">
        <v>311</v>
      </c>
      <c r="J133" s="108" t="s">
        <v>1683</v>
      </c>
      <c r="K133" s="99" t="s">
        <v>90</v>
      </c>
      <c r="L133" s="178">
        <v>5000</v>
      </c>
      <c r="M133" s="54" t="s">
        <v>302</v>
      </c>
      <c r="N133" s="108" t="s">
        <v>303</v>
      </c>
      <c r="O133" s="54" t="s">
        <v>236</v>
      </c>
      <c r="P133" s="72" t="s">
        <v>39</v>
      </c>
      <c r="Q133" s="167" t="s">
        <v>1680</v>
      </c>
      <c r="R133" s="182">
        <v>1000</v>
      </c>
      <c r="S133" s="178">
        <v>1200</v>
      </c>
      <c r="T133" s="178">
        <v>1300</v>
      </c>
      <c r="U133" s="183">
        <v>1500</v>
      </c>
      <c r="V133" s="59">
        <v>60000000</v>
      </c>
      <c r="W133" s="60"/>
      <c r="X133" s="60"/>
      <c r="Y133" s="60"/>
      <c r="Z133" s="60"/>
      <c r="AA133" s="61"/>
      <c r="AB133" s="62">
        <v>300000000</v>
      </c>
      <c r="AC133" s="60"/>
      <c r="AD133" s="60"/>
      <c r="AE133" s="60"/>
      <c r="AF133" s="60"/>
      <c r="AG133" s="60"/>
      <c r="AH133" s="63"/>
      <c r="AI133" s="62">
        <v>300000000</v>
      </c>
      <c r="AJ133" s="60"/>
      <c r="AK133" s="60"/>
      <c r="AL133" s="60"/>
      <c r="AM133" s="60"/>
      <c r="AN133" s="60"/>
      <c r="AO133" s="63"/>
      <c r="AP133" s="62">
        <v>300000000</v>
      </c>
      <c r="AQ133" s="60"/>
      <c r="AR133" s="60"/>
      <c r="AS133" s="60"/>
      <c r="AT133" s="60"/>
      <c r="AU133" s="60"/>
      <c r="AV133" s="64"/>
      <c r="AW133" s="55">
        <f t="shared" si="12"/>
        <v>60000000</v>
      </c>
      <c r="AX133" s="55">
        <f t="shared" si="13"/>
        <v>300000000</v>
      </c>
      <c r="AY133" s="55">
        <f t="shared" si="14"/>
        <v>300000000</v>
      </c>
      <c r="AZ133" s="55">
        <f t="shared" si="15"/>
        <v>300000000</v>
      </c>
      <c r="BA133" s="55">
        <f t="shared" si="16"/>
        <v>960000000</v>
      </c>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row>
    <row r="134" spans="1:133" s="28" customFormat="1" ht="157.5" x14ac:dyDescent="0.25">
      <c r="A134" s="148" t="s">
        <v>28</v>
      </c>
      <c r="B134" s="56" t="s">
        <v>229</v>
      </c>
      <c r="C134" s="56" t="s">
        <v>312</v>
      </c>
      <c r="D134" s="56" t="s">
        <v>313</v>
      </c>
      <c r="E134" s="155">
        <v>0.501</v>
      </c>
      <c r="F134" s="155">
        <v>0.54</v>
      </c>
      <c r="G134" s="66" t="s">
        <v>314</v>
      </c>
      <c r="H134" s="66" t="s">
        <v>1270</v>
      </c>
      <c r="I134" s="108" t="s">
        <v>315</v>
      </c>
      <c r="J134" s="108" t="s">
        <v>1683</v>
      </c>
      <c r="K134" s="99">
        <v>5</v>
      </c>
      <c r="L134" s="178">
        <v>24</v>
      </c>
      <c r="M134" s="54" t="s">
        <v>302</v>
      </c>
      <c r="N134" s="108" t="s">
        <v>303</v>
      </c>
      <c r="O134" s="54" t="s">
        <v>236</v>
      </c>
      <c r="P134" s="67" t="s">
        <v>39</v>
      </c>
      <c r="Q134" s="166" t="s">
        <v>1680</v>
      </c>
      <c r="R134" s="182">
        <v>0</v>
      </c>
      <c r="S134" s="178">
        <v>6</v>
      </c>
      <c r="T134" s="178">
        <v>8</v>
      </c>
      <c r="U134" s="183">
        <v>10</v>
      </c>
      <c r="V134" s="59">
        <v>0</v>
      </c>
      <c r="W134" s="60"/>
      <c r="X134" s="60"/>
      <c r="Y134" s="60"/>
      <c r="Z134" s="60"/>
      <c r="AA134" s="61"/>
      <c r="AB134" s="62">
        <v>400000000</v>
      </c>
      <c r="AC134" s="60"/>
      <c r="AD134" s="60"/>
      <c r="AE134" s="60"/>
      <c r="AF134" s="60"/>
      <c r="AG134" s="60"/>
      <c r="AH134" s="63"/>
      <c r="AI134" s="62">
        <v>400000000</v>
      </c>
      <c r="AJ134" s="60"/>
      <c r="AK134" s="60"/>
      <c r="AL134" s="60"/>
      <c r="AM134" s="60"/>
      <c r="AN134" s="60"/>
      <c r="AO134" s="63"/>
      <c r="AP134" s="62">
        <v>400000000</v>
      </c>
      <c r="AQ134" s="60"/>
      <c r="AR134" s="60"/>
      <c r="AS134" s="60"/>
      <c r="AT134" s="60"/>
      <c r="AU134" s="60"/>
      <c r="AV134" s="64"/>
      <c r="AW134" s="55">
        <f t="shared" si="12"/>
        <v>0</v>
      </c>
      <c r="AX134" s="55">
        <f t="shared" si="13"/>
        <v>400000000</v>
      </c>
      <c r="AY134" s="55">
        <f t="shared" si="14"/>
        <v>400000000</v>
      </c>
      <c r="AZ134" s="55">
        <f t="shared" si="15"/>
        <v>400000000</v>
      </c>
      <c r="BA134" s="55">
        <f t="shared" si="16"/>
        <v>1200000000</v>
      </c>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row>
    <row r="135" spans="1:133" s="16" customFormat="1" ht="157.5" x14ac:dyDescent="0.25">
      <c r="A135" s="148" t="s">
        <v>28</v>
      </c>
      <c r="B135" s="56" t="s">
        <v>229</v>
      </c>
      <c r="C135" s="56" t="s">
        <v>312</v>
      </c>
      <c r="D135" s="56" t="s">
        <v>313</v>
      </c>
      <c r="E135" s="155">
        <v>0.501</v>
      </c>
      <c r="F135" s="155">
        <v>0.54</v>
      </c>
      <c r="G135" s="66" t="s">
        <v>314</v>
      </c>
      <c r="H135" s="66" t="s">
        <v>1271</v>
      </c>
      <c r="I135" s="108" t="s">
        <v>316</v>
      </c>
      <c r="J135" s="108" t="s">
        <v>1683</v>
      </c>
      <c r="K135" s="99">
        <v>1000</v>
      </c>
      <c r="L135" s="178">
        <v>2000</v>
      </c>
      <c r="M135" s="54" t="s">
        <v>302</v>
      </c>
      <c r="N135" s="108" t="s">
        <v>303</v>
      </c>
      <c r="O135" s="54" t="s">
        <v>236</v>
      </c>
      <c r="P135" s="72" t="s">
        <v>39</v>
      </c>
      <c r="Q135" s="167" t="s">
        <v>1680</v>
      </c>
      <c r="R135" s="182">
        <v>350</v>
      </c>
      <c r="S135" s="178">
        <v>400</v>
      </c>
      <c r="T135" s="178">
        <v>500</v>
      </c>
      <c r="U135" s="183">
        <v>750</v>
      </c>
      <c r="V135" s="59">
        <v>265200000</v>
      </c>
      <c r="W135" s="60"/>
      <c r="X135" s="60"/>
      <c r="Y135" s="60"/>
      <c r="Z135" s="60"/>
      <c r="AA135" s="61"/>
      <c r="AB135" s="62">
        <v>1600000000</v>
      </c>
      <c r="AC135" s="60"/>
      <c r="AD135" s="60"/>
      <c r="AE135" s="60"/>
      <c r="AF135" s="60"/>
      <c r="AG135" s="60"/>
      <c r="AH135" s="63"/>
      <c r="AI135" s="62" t="s">
        <v>317</v>
      </c>
      <c r="AJ135" s="60"/>
      <c r="AK135" s="60"/>
      <c r="AL135" s="60"/>
      <c r="AM135" s="60"/>
      <c r="AN135" s="60"/>
      <c r="AO135" s="63"/>
      <c r="AP135" s="62">
        <v>1600000000</v>
      </c>
      <c r="AQ135" s="60"/>
      <c r="AR135" s="60"/>
      <c r="AS135" s="60"/>
      <c r="AT135" s="60"/>
      <c r="AU135" s="60"/>
      <c r="AV135" s="64"/>
      <c r="AW135" s="55">
        <f t="shared" si="12"/>
        <v>265200000</v>
      </c>
      <c r="AX135" s="55">
        <f t="shared" si="13"/>
        <v>1600000000</v>
      </c>
      <c r="AY135" s="55">
        <f t="shared" si="14"/>
        <v>0</v>
      </c>
      <c r="AZ135" s="55">
        <f t="shared" si="15"/>
        <v>1600000000</v>
      </c>
      <c r="BA135" s="55">
        <f t="shared" si="16"/>
        <v>3465200000</v>
      </c>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row>
    <row r="136" spans="1:133" s="26" customFormat="1" ht="157.5" x14ac:dyDescent="0.25">
      <c r="A136" s="148" t="s">
        <v>28</v>
      </c>
      <c r="B136" s="56" t="s">
        <v>229</v>
      </c>
      <c r="C136" s="56" t="s">
        <v>312</v>
      </c>
      <c r="D136" s="56" t="s">
        <v>313</v>
      </c>
      <c r="E136" s="155">
        <v>0.501</v>
      </c>
      <c r="F136" s="155">
        <v>0.54</v>
      </c>
      <c r="G136" s="108" t="s">
        <v>318</v>
      </c>
      <c r="H136" s="108" t="s">
        <v>1272</v>
      </c>
      <c r="I136" s="108" t="s">
        <v>319</v>
      </c>
      <c r="J136" s="108" t="s">
        <v>1683</v>
      </c>
      <c r="K136" s="99">
        <v>4000</v>
      </c>
      <c r="L136" s="178">
        <v>4500</v>
      </c>
      <c r="M136" s="54" t="s">
        <v>302</v>
      </c>
      <c r="N136" s="108" t="s">
        <v>303</v>
      </c>
      <c r="O136" s="54" t="s">
        <v>236</v>
      </c>
      <c r="P136" s="72" t="s">
        <v>39</v>
      </c>
      <c r="Q136" s="167" t="s">
        <v>1680</v>
      </c>
      <c r="R136" s="182">
        <v>400</v>
      </c>
      <c r="S136" s="178">
        <v>1000</v>
      </c>
      <c r="T136" s="178">
        <v>1300</v>
      </c>
      <c r="U136" s="183">
        <v>1800</v>
      </c>
      <c r="V136" s="59">
        <v>265200000</v>
      </c>
      <c r="W136" s="60"/>
      <c r="X136" s="60"/>
      <c r="Y136" s="60"/>
      <c r="Z136" s="60"/>
      <c r="AA136" s="61"/>
      <c r="AB136" s="62">
        <v>1200000000</v>
      </c>
      <c r="AC136" s="60"/>
      <c r="AD136" s="60"/>
      <c r="AE136" s="60"/>
      <c r="AF136" s="60"/>
      <c r="AG136" s="60"/>
      <c r="AH136" s="63"/>
      <c r="AI136" s="62">
        <v>1200000000</v>
      </c>
      <c r="AJ136" s="60"/>
      <c r="AK136" s="60"/>
      <c r="AL136" s="60"/>
      <c r="AM136" s="60"/>
      <c r="AN136" s="60"/>
      <c r="AO136" s="63"/>
      <c r="AP136" s="62">
        <v>1200000000</v>
      </c>
      <c r="AQ136" s="60"/>
      <c r="AR136" s="60"/>
      <c r="AS136" s="60"/>
      <c r="AT136" s="60"/>
      <c r="AU136" s="60"/>
      <c r="AV136" s="64"/>
      <c r="AW136" s="55">
        <f t="shared" si="12"/>
        <v>265200000</v>
      </c>
      <c r="AX136" s="55">
        <f t="shared" si="13"/>
        <v>1200000000</v>
      </c>
      <c r="AY136" s="55">
        <f t="shared" si="14"/>
        <v>1200000000</v>
      </c>
      <c r="AZ136" s="55">
        <f t="shared" si="15"/>
        <v>1200000000</v>
      </c>
      <c r="BA136" s="55">
        <f t="shared" si="16"/>
        <v>3865200000</v>
      </c>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c r="CD136" s="39"/>
      <c r="CE136" s="39"/>
      <c r="CF136" s="39"/>
      <c r="CG136" s="39"/>
      <c r="CH136" s="39"/>
      <c r="CI136" s="39"/>
      <c r="CJ136" s="39"/>
      <c r="CK136" s="39"/>
      <c r="CL136" s="39"/>
      <c r="CM136" s="39"/>
      <c r="CN136" s="39"/>
      <c r="CO136" s="39"/>
      <c r="CP136" s="39"/>
      <c r="CQ136" s="39"/>
      <c r="CR136" s="39"/>
      <c r="CS136" s="39"/>
      <c r="CT136" s="39"/>
      <c r="CU136" s="39"/>
      <c r="CV136" s="39"/>
      <c r="CW136" s="39"/>
      <c r="CX136" s="39"/>
      <c r="CY136" s="39"/>
      <c r="CZ136" s="39"/>
      <c r="DA136" s="39"/>
      <c r="DB136" s="39"/>
      <c r="DC136" s="39"/>
      <c r="DD136" s="39"/>
      <c r="DE136" s="39"/>
      <c r="DF136" s="39"/>
      <c r="DG136" s="39"/>
      <c r="DH136" s="39"/>
      <c r="DI136" s="39"/>
      <c r="DJ136" s="39"/>
      <c r="DK136" s="39"/>
      <c r="DL136" s="39"/>
      <c r="DM136" s="39"/>
      <c r="DN136" s="39"/>
      <c r="DO136" s="39"/>
      <c r="DP136" s="39"/>
      <c r="DQ136" s="39"/>
      <c r="DR136" s="39"/>
      <c r="DS136" s="39"/>
      <c r="DT136" s="39"/>
      <c r="DU136" s="39"/>
      <c r="DV136" s="39"/>
      <c r="DW136" s="39"/>
      <c r="DX136" s="39"/>
      <c r="DY136" s="39"/>
      <c r="DZ136" s="39"/>
      <c r="EA136" s="39"/>
      <c r="EB136" s="39"/>
      <c r="EC136" s="39"/>
    </row>
    <row r="137" spans="1:133" s="19" customFormat="1" ht="94.5" x14ac:dyDescent="0.25">
      <c r="A137" s="148" t="s">
        <v>28</v>
      </c>
      <c r="B137" s="56" t="s">
        <v>229</v>
      </c>
      <c r="C137" s="56" t="s">
        <v>312</v>
      </c>
      <c r="D137" s="56" t="s">
        <v>313</v>
      </c>
      <c r="E137" s="155">
        <v>0.501</v>
      </c>
      <c r="F137" s="155">
        <v>0.54</v>
      </c>
      <c r="G137" s="108" t="s">
        <v>320</v>
      </c>
      <c r="H137" s="108" t="s">
        <v>1273</v>
      </c>
      <c r="I137" s="108" t="s">
        <v>321</v>
      </c>
      <c r="J137" s="108" t="s">
        <v>1682</v>
      </c>
      <c r="K137" s="178">
        <v>0</v>
      </c>
      <c r="L137" s="179">
        <v>100</v>
      </c>
      <c r="M137" s="54" t="s">
        <v>302</v>
      </c>
      <c r="N137" s="108" t="s">
        <v>303</v>
      </c>
      <c r="O137" s="54" t="s">
        <v>236</v>
      </c>
      <c r="P137" s="72" t="s">
        <v>39</v>
      </c>
      <c r="Q137" s="167" t="s">
        <v>1680</v>
      </c>
      <c r="R137" s="182">
        <v>0</v>
      </c>
      <c r="S137" s="178">
        <v>20</v>
      </c>
      <c r="T137" s="178">
        <v>30</v>
      </c>
      <c r="U137" s="183">
        <v>50</v>
      </c>
      <c r="V137" s="59">
        <v>0</v>
      </c>
      <c r="W137" s="60"/>
      <c r="X137" s="60"/>
      <c r="Y137" s="60"/>
      <c r="Z137" s="60"/>
      <c r="AA137" s="61"/>
      <c r="AB137" s="62">
        <v>125000000</v>
      </c>
      <c r="AC137" s="60"/>
      <c r="AD137" s="60"/>
      <c r="AE137" s="60"/>
      <c r="AF137" s="60"/>
      <c r="AG137" s="60"/>
      <c r="AH137" s="63"/>
      <c r="AI137" s="62">
        <v>125000000</v>
      </c>
      <c r="AJ137" s="60"/>
      <c r="AK137" s="60"/>
      <c r="AL137" s="60"/>
      <c r="AM137" s="60"/>
      <c r="AN137" s="60"/>
      <c r="AO137" s="63"/>
      <c r="AP137" s="62">
        <v>250000000</v>
      </c>
      <c r="AQ137" s="60"/>
      <c r="AR137" s="60"/>
      <c r="AS137" s="60"/>
      <c r="AT137" s="60"/>
      <c r="AU137" s="60"/>
      <c r="AV137" s="64"/>
      <c r="AW137" s="55">
        <f t="shared" si="12"/>
        <v>0</v>
      </c>
      <c r="AX137" s="55">
        <f t="shared" si="13"/>
        <v>125000000</v>
      </c>
      <c r="AY137" s="55">
        <f t="shared" si="14"/>
        <v>125000000</v>
      </c>
      <c r="AZ137" s="55">
        <f t="shared" si="15"/>
        <v>250000000</v>
      </c>
      <c r="BA137" s="55">
        <f t="shared" si="16"/>
        <v>500000000</v>
      </c>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row>
    <row r="138" spans="1:133" s="16" customFormat="1" ht="110.25" x14ac:dyDescent="0.25">
      <c r="A138" s="148" t="s">
        <v>28</v>
      </c>
      <c r="B138" s="56" t="s">
        <v>229</v>
      </c>
      <c r="C138" s="56" t="s">
        <v>312</v>
      </c>
      <c r="D138" s="56" t="s">
        <v>313</v>
      </c>
      <c r="E138" s="155">
        <v>0.501</v>
      </c>
      <c r="F138" s="155">
        <v>0.54</v>
      </c>
      <c r="G138" s="66" t="s">
        <v>322</v>
      </c>
      <c r="H138" s="66" t="s">
        <v>1274</v>
      </c>
      <c r="I138" s="108" t="s">
        <v>323</v>
      </c>
      <c r="J138" s="108" t="s">
        <v>1682</v>
      </c>
      <c r="K138" s="178">
        <v>0</v>
      </c>
      <c r="L138" s="179">
        <v>100</v>
      </c>
      <c r="M138" s="54" t="s">
        <v>302</v>
      </c>
      <c r="N138" s="108" t="s">
        <v>303</v>
      </c>
      <c r="O138" s="54" t="s">
        <v>236</v>
      </c>
      <c r="P138" s="72" t="s">
        <v>39</v>
      </c>
      <c r="Q138" s="167" t="s">
        <v>1680</v>
      </c>
      <c r="R138" s="182">
        <v>0</v>
      </c>
      <c r="S138" s="178">
        <v>20</v>
      </c>
      <c r="T138" s="178">
        <v>30</v>
      </c>
      <c r="U138" s="183">
        <v>50</v>
      </c>
      <c r="V138" s="59">
        <v>0</v>
      </c>
      <c r="W138" s="60"/>
      <c r="X138" s="60"/>
      <c r="Y138" s="60"/>
      <c r="Z138" s="60"/>
      <c r="AA138" s="61"/>
      <c r="AB138" s="62">
        <v>125000000</v>
      </c>
      <c r="AC138" s="60"/>
      <c r="AD138" s="60"/>
      <c r="AE138" s="60"/>
      <c r="AF138" s="60"/>
      <c r="AG138" s="60"/>
      <c r="AH138" s="63"/>
      <c r="AI138" s="62">
        <v>125000000</v>
      </c>
      <c r="AJ138" s="60"/>
      <c r="AK138" s="60"/>
      <c r="AL138" s="60"/>
      <c r="AM138" s="60"/>
      <c r="AN138" s="60"/>
      <c r="AO138" s="63"/>
      <c r="AP138" s="62">
        <v>0</v>
      </c>
      <c r="AQ138" s="60"/>
      <c r="AR138" s="60"/>
      <c r="AS138" s="60"/>
      <c r="AT138" s="60"/>
      <c r="AU138" s="60"/>
      <c r="AV138" s="64"/>
      <c r="AW138" s="55">
        <f t="shared" si="12"/>
        <v>0</v>
      </c>
      <c r="AX138" s="55">
        <f t="shared" si="13"/>
        <v>125000000</v>
      </c>
      <c r="AY138" s="55">
        <f t="shared" si="14"/>
        <v>125000000</v>
      </c>
      <c r="AZ138" s="55">
        <f t="shared" si="15"/>
        <v>0</v>
      </c>
      <c r="BA138" s="55">
        <f t="shared" si="16"/>
        <v>250000000</v>
      </c>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row>
    <row r="139" spans="1:133" s="12" customFormat="1" ht="94.5" x14ac:dyDescent="0.25">
      <c r="A139" s="148" t="s">
        <v>28</v>
      </c>
      <c r="B139" s="56" t="s">
        <v>229</v>
      </c>
      <c r="C139" s="56" t="s">
        <v>312</v>
      </c>
      <c r="D139" s="56" t="s">
        <v>313</v>
      </c>
      <c r="E139" s="155">
        <v>0.501</v>
      </c>
      <c r="F139" s="155">
        <v>0.54</v>
      </c>
      <c r="G139" s="66" t="s">
        <v>322</v>
      </c>
      <c r="H139" s="66" t="s">
        <v>1275</v>
      </c>
      <c r="I139" s="108" t="s">
        <v>324</v>
      </c>
      <c r="J139" s="108" t="s">
        <v>1682</v>
      </c>
      <c r="K139" s="178">
        <v>0</v>
      </c>
      <c r="L139" s="179">
        <v>100</v>
      </c>
      <c r="M139" s="54" t="s">
        <v>302</v>
      </c>
      <c r="N139" s="108" t="s">
        <v>303</v>
      </c>
      <c r="O139" s="54" t="s">
        <v>236</v>
      </c>
      <c r="P139" s="72" t="s">
        <v>39</v>
      </c>
      <c r="Q139" s="167" t="s">
        <v>1680</v>
      </c>
      <c r="R139" s="182">
        <v>0</v>
      </c>
      <c r="S139" s="178">
        <v>0</v>
      </c>
      <c r="T139" s="178">
        <v>50</v>
      </c>
      <c r="U139" s="183">
        <v>50</v>
      </c>
      <c r="V139" s="59">
        <v>0</v>
      </c>
      <c r="W139" s="60"/>
      <c r="X139" s="60"/>
      <c r="Y139" s="60"/>
      <c r="Z139" s="60"/>
      <c r="AA139" s="61"/>
      <c r="AB139" s="62">
        <v>0</v>
      </c>
      <c r="AC139" s="60"/>
      <c r="AD139" s="60"/>
      <c r="AE139" s="60"/>
      <c r="AF139" s="60"/>
      <c r="AG139" s="60"/>
      <c r="AH139" s="63"/>
      <c r="AI139" s="62">
        <v>125000000</v>
      </c>
      <c r="AJ139" s="60"/>
      <c r="AK139" s="60"/>
      <c r="AL139" s="60"/>
      <c r="AM139" s="60"/>
      <c r="AN139" s="60"/>
      <c r="AO139" s="63"/>
      <c r="AP139" s="62">
        <v>125000000</v>
      </c>
      <c r="AQ139" s="60"/>
      <c r="AR139" s="60"/>
      <c r="AS139" s="60"/>
      <c r="AT139" s="60"/>
      <c r="AU139" s="60"/>
      <c r="AV139" s="64"/>
      <c r="AW139" s="55">
        <f t="shared" si="12"/>
        <v>0</v>
      </c>
      <c r="AX139" s="55">
        <f t="shared" si="13"/>
        <v>0</v>
      </c>
      <c r="AY139" s="55">
        <f t="shared" si="14"/>
        <v>125000000</v>
      </c>
      <c r="AZ139" s="55">
        <f t="shared" si="15"/>
        <v>125000000</v>
      </c>
      <c r="BA139" s="55">
        <f t="shared" si="16"/>
        <v>250000000</v>
      </c>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row>
    <row r="140" spans="1:133" s="3" customFormat="1" ht="94.5" x14ac:dyDescent="0.25">
      <c r="A140" s="148" t="s">
        <v>28</v>
      </c>
      <c r="B140" s="56" t="s">
        <v>229</v>
      </c>
      <c r="C140" s="56" t="s">
        <v>325</v>
      </c>
      <c r="D140" s="56" t="s">
        <v>326</v>
      </c>
      <c r="E140" s="147">
        <v>2.1999999999999999E-2</v>
      </c>
      <c r="F140" s="147">
        <v>1.6E-2</v>
      </c>
      <c r="G140" s="108" t="s">
        <v>327</v>
      </c>
      <c r="H140" s="108" t="s">
        <v>1276</v>
      </c>
      <c r="I140" s="108" t="s">
        <v>328</v>
      </c>
      <c r="J140" s="108" t="s">
        <v>1683</v>
      </c>
      <c r="K140" s="99">
        <v>4</v>
      </c>
      <c r="L140" s="178">
        <v>200</v>
      </c>
      <c r="M140" s="54" t="s">
        <v>96</v>
      </c>
      <c r="N140" s="108" t="s">
        <v>143</v>
      </c>
      <c r="O140" s="54" t="s">
        <v>236</v>
      </c>
      <c r="P140" s="67" t="s">
        <v>39</v>
      </c>
      <c r="Q140" s="166" t="s">
        <v>1680</v>
      </c>
      <c r="R140" s="182">
        <v>50</v>
      </c>
      <c r="S140" s="178">
        <v>50</v>
      </c>
      <c r="T140" s="178">
        <v>50</v>
      </c>
      <c r="U140" s="183">
        <v>50</v>
      </c>
      <c r="V140" s="59">
        <v>22500000</v>
      </c>
      <c r="W140" s="60"/>
      <c r="X140" s="60"/>
      <c r="Y140" s="60"/>
      <c r="Z140" s="60"/>
      <c r="AA140" s="61"/>
      <c r="AB140" s="62">
        <v>22500000</v>
      </c>
      <c r="AC140" s="60"/>
      <c r="AD140" s="60"/>
      <c r="AE140" s="60"/>
      <c r="AF140" s="60"/>
      <c r="AG140" s="60"/>
      <c r="AH140" s="63"/>
      <c r="AI140" s="62">
        <v>22500000</v>
      </c>
      <c r="AJ140" s="60"/>
      <c r="AK140" s="60"/>
      <c r="AL140" s="60"/>
      <c r="AM140" s="60"/>
      <c r="AN140" s="60"/>
      <c r="AO140" s="63"/>
      <c r="AP140" s="62">
        <v>22500000</v>
      </c>
      <c r="AQ140" s="60"/>
      <c r="AR140" s="60"/>
      <c r="AS140" s="60"/>
      <c r="AT140" s="60"/>
      <c r="AU140" s="60"/>
      <c r="AV140" s="64"/>
      <c r="AW140" s="55">
        <f t="shared" si="12"/>
        <v>22500000</v>
      </c>
      <c r="AX140" s="55">
        <f t="shared" si="13"/>
        <v>22500000</v>
      </c>
      <c r="AY140" s="55">
        <f t="shared" si="14"/>
        <v>22500000</v>
      </c>
      <c r="AZ140" s="55">
        <f t="shared" si="15"/>
        <v>22500000</v>
      </c>
      <c r="BA140" s="55">
        <f t="shared" si="16"/>
        <v>90000000</v>
      </c>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row>
    <row r="141" spans="1:133" s="21" customFormat="1" ht="94.5" x14ac:dyDescent="0.25">
      <c r="A141" s="148" t="s">
        <v>28</v>
      </c>
      <c r="B141" s="56" t="s">
        <v>229</v>
      </c>
      <c r="C141" s="56" t="s">
        <v>325</v>
      </c>
      <c r="D141" s="56" t="s">
        <v>326</v>
      </c>
      <c r="E141" s="147">
        <v>2.1999999999999999E-2</v>
      </c>
      <c r="F141" s="147">
        <v>1.6E-2</v>
      </c>
      <c r="G141" s="108" t="s">
        <v>329</v>
      </c>
      <c r="H141" s="108" t="s">
        <v>1277</v>
      </c>
      <c r="I141" s="108" t="s">
        <v>330</v>
      </c>
      <c r="J141" s="108" t="s">
        <v>1683</v>
      </c>
      <c r="K141" s="99">
        <v>1</v>
      </c>
      <c r="L141" s="178">
        <v>1</v>
      </c>
      <c r="M141" s="54" t="s">
        <v>96</v>
      </c>
      <c r="N141" s="108" t="s">
        <v>143</v>
      </c>
      <c r="O141" s="54" t="s">
        <v>236</v>
      </c>
      <c r="P141" s="67" t="s">
        <v>39</v>
      </c>
      <c r="Q141" s="166" t="s">
        <v>1680</v>
      </c>
      <c r="R141" s="182">
        <v>0</v>
      </c>
      <c r="S141" s="178">
        <v>0</v>
      </c>
      <c r="T141" s="178">
        <v>1</v>
      </c>
      <c r="U141" s="183">
        <v>0</v>
      </c>
      <c r="V141" s="59"/>
      <c r="W141" s="60"/>
      <c r="X141" s="60"/>
      <c r="Y141" s="60"/>
      <c r="Z141" s="60"/>
      <c r="AA141" s="61"/>
      <c r="AB141" s="62"/>
      <c r="AC141" s="60"/>
      <c r="AD141" s="60"/>
      <c r="AE141" s="60"/>
      <c r="AF141" s="60"/>
      <c r="AG141" s="60"/>
      <c r="AH141" s="63"/>
      <c r="AI141" s="62">
        <v>5000000</v>
      </c>
      <c r="AJ141" s="60"/>
      <c r="AK141" s="60"/>
      <c r="AL141" s="60"/>
      <c r="AM141" s="60"/>
      <c r="AN141" s="60"/>
      <c r="AO141" s="63"/>
      <c r="AP141" s="62"/>
      <c r="AQ141" s="60"/>
      <c r="AR141" s="60"/>
      <c r="AS141" s="60"/>
      <c r="AT141" s="60"/>
      <c r="AU141" s="60"/>
      <c r="AV141" s="64"/>
      <c r="AW141" s="55">
        <f t="shared" si="12"/>
        <v>0</v>
      </c>
      <c r="AX141" s="55">
        <f t="shared" si="13"/>
        <v>0</v>
      </c>
      <c r="AY141" s="55">
        <f t="shared" si="14"/>
        <v>5000000</v>
      </c>
      <c r="AZ141" s="55">
        <f t="shared" si="15"/>
        <v>0</v>
      </c>
      <c r="BA141" s="55">
        <f t="shared" si="16"/>
        <v>5000000</v>
      </c>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row>
    <row r="142" spans="1:133" s="18" customFormat="1" ht="94.5" x14ac:dyDescent="0.25">
      <c r="A142" s="148" t="s">
        <v>28</v>
      </c>
      <c r="B142" s="56" t="s">
        <v>229</v>
      </c>
      <c r="C142" s="56" t="s">
        <v>325</v>
      </c>
      <c r="D142" s="56" t="s">
        <v>326</v>
      </c>
      <c r="E142" s="147">
        <v>2.1999999999999999E-2</v>
      </c>
      <c r="F142" s="147">
        <v>1.6E-2</v>
      </c>
      <c r="G142" s="108" t="s">
        <v>331</v>
      </c>
      <c r="H142" s="108" t="s">
        <v>1278</v>
      </c>
      <c r="I142" s="108" t="s">
        <v>332</v>
      </c>
      <c r="J142" s="108" t="s">
        <v>1682</v>
      </c>
      <c r="K142" s="178">
        <v>0</v>
      </c>
      <c r="L142" s="179">
        <v>100</v>
      </c>
      <c r="M142" s="56" t="s">
        <v>333</v>
      </c>
      <c r="N142" s="108" t="s">
        <v>143</v>
      </c>
      <c r="O142" s="54" t="s">
        <v>236</v>
      </c>
      <c r="P142" s="72" t="s">
        <v>39</v>
      </c>
      <c r="Q142" s="167" t="s">
        <v>1680</v>
      </c>
      <c r="R142" s="182">
        <v>0</v>
      </c>
      <c r="S142" s="178">
        <v>30</v>
      </c>
      <c r="T142" s="178">
        <v>30</v>
      </c>
      <c r="U142" s="183">
        <v>40</v>
      </c>
      <c r="V142" s="59"/>
      <c r="W142" s="60"/>
      <c r="X142" s="60"/>
      <c r="Y142" s="60"/>
      <c r="Z142" s="60"/>
      <c r="AA142" s="61"/>
      <c r="AB142" s="62">
        <v>2000000000</v>
      </c>
      <c r="AC142" s="60"/>
      <c r="AD142" s="60"/>
      <c r="AE142" s="60"/>
      <c r="AF142" s="60"/>
      <c r="AG142" s="60"/>
      <c r="AH142" s="63"/>
      <c r="AI142" s="62">
        <v>2000000000</v>
      </c>
      <c r="AJ142" s="60"/>
      <c r="AK142" s="60"/>
      <c r="AL142" s="60"/>
      <c r="AM142" s="60"/>
      <c r="AN142" s="60"/>
      <c r="AO142" s="63"/>
      <c r="AP142" s="62">
        <v>2000000000</v>
      </c>
      <c r="AQ142" s="60"/>
      <c r="AR142" s="60"/>
      <c r="AS142" s="60"/>
      <c r="AT142" s="60"/>
      <c r="AU142" s="60"/>
      <c r="AV142" s="64"/>
      <c r="AW142" s="55">
        <f t="shared" si="12"/>
        <v>0</v>
      </c>
      <c r="AX142" s="55">
        <f t="shared" si="13"/>
        <v>2000000000</v>
      </c>
      <c r="AY142" s="55">
        <f t="shared" si="14"/>
        <v>2000000000</v>
      </c>
      <c r="AZ142" s="55">
        <f t="shared" si="15"/>
        <v>2000000000</v>
      </c>
      <c r="BA142" s="55">
        <f t="shared" si="16"/>
        <v>6000000000</v>
      </c>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row>
    <row r="143" spans="1:133" s="14" customFormat="1" ht="94.5" x14ac:dyDescent="0.25">
      <c r="A143" s="148" t="s">
        <v>28</v>
      </c>
      <c r="B143" s="56" t="s">
        <v>229</v>
      </c>
      <c r="C143" s="56" t="s">
        <v>334</v>
      </c>
      <c r="D143" s="56" t="s">
        <v>326</v>
      </c>
      <c r="E143" s="147">
        <v>2.1999999999999999E-2</v>
      </c>
      <c r="F143" s="147">
        <v>1.6E-2</v>
      </c>
      <c r="G143" s="108" t="s">
        <v>335</v>
      </c>
      <c r="H143" s="108" t="s">
        <v>1279</v>
      </c>
      <c r="I143" s="108" t="s">
        <v>336</v>
      </c>
      <c r="J143" s="108" t="s">
        <v>1683</v>
      </c>
      <c r="K143" s="99">
        <v>30</v>
      </c>
      <c r="L143" s="178">
        <v>80</v>
      </c>
      <c r="M143" s="54" t="s">
        <v>337</v>
      </c>
      <c r="N143" s="108" t="s">
        <v>143</v>
      </c>
      <c r="O143" s="54" t="s">
        <v>236</v>
      </c>
      <c r="P143" s="72" t="s">
        <v>39</v>
      </c>
      <c r="Q143" s="167" t="s">
        <v>1680</v>
      </c>
      <c r="R143" s="182">
        <v>0</v>
      </c>
      <c r="S143" s="178">
        <v>15</v>
      </c>
      <c r="T143" s="178">
        <v>30</v>
      </c>
      <c r="U143" s="183">
        <v>35</v>
      </c>
      <c r="V143" s="59"/>
      <c r="W143" s="60"/>
      <c r="X143" s="60"/>
      <c r="Y143" s="60"/>
      <c r="Z143" s="60"/>
      <c r="AA143" s="61"/>
      <c r="AB143" s="62">
        <v>420000000</v>
      </c>
      <c r="AC143" s="60"/>
      <c r="AD143" s="60"/>
      <c r="AE143" s="60"/>
      <c r="AF143" s="60"/>
      <c r="AG143" s="60"/>
      <c r="AH143" s="63"/>
      <c r="AI143" s="62">
        <v>441000000</v>
      </c>
      <c r="AJ143" s="60"/>
      <c r="AK143" s="60"/>
      <c r="AL143" s="60"/>
      <c r="AM143" s="60"/>
      <c r="AN143" s="60"/>
      <c r="AO143" s="63"/>
      <c r="AP143" s="62">
        <v>464000000</v>
      </c>
      <c r="AQ143" s="60"/>
      <c r="AR143" s="60"/>
      <c r="AS143" s="60"/>
      <c r="AT143" s="60"/>
      <c r="AU143" s="60"/>
      <c r="AV143" s="64"/>
      <c r="AW143" s="55">
        <f t="shared" si="12"/>
        <v>0</v>
      </c>
      <c r="AX143" s="55">
        <f t="shared" si="13"/>
        <v>420000000</v>
      </c>
      <c r="AY143" s="55">
        <f t="shared" si="14"/>
        <v>441000000</v>
      </c>
      <c r="AZ143" s="55">
        <f t="shared" si="15"/>
        <v>464000000</v>
      </c>
      <c r="BA143" s="55">
        <f t="shared" si="16"/>
        <v>1325000000</v>
      </c>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row>
    <row r="144" spans="1:133" s="18" customFormat="1" ht="94.5" x14ac:dyDescent="0.25">
      <c r="A144" s="148" t="s">
        <v>28</v>
      </c>
      <c r="B144" s="56" t="s">
        <v>229</v>
      </c>
      <c r="C144" s="56" t="s">
        <v>334</v>
      </c>
      <c r="D144" s="56" t="s">
        <v>326</v>
      </c>
      <c r="E144" s="147">
        <v>2.1999999999999999E-2</v>
      </c>
      <c r="F144" s="147">
        <v>1.6E-2</v>
      </c>
      <c r="G144" s="108" t="s">
        <v>338</v>
      </c>
      <c r="H144" s="108" t="s">
        <v>1280</v>
      </c>
      <c r="I144" s="108" t="s">
        <v>339</v>
      </c>
      <c r="J144" s="108" t="s">
        <v>1685</v>
      </c>
      <c r="K144" s="99">
        <v>2</v>
      </c>
      <c r="L144" s="178">
        <v>20</v>
      </c>
      <c r="M144" s="54" t="s">
        <v>337</v>
      </c>
      <c r="N144" s="108" t="s">
        <v>143</v>
      </c>
      <c r="O144" s="54" t="s">
        <v>236</v>
      </c>
      <c r="P144" s="72" t="s">
        <v>39</v>
      </c>
      <c r="Q144" s="167" t="s">
        <v>1680</v>
      </c>
      <c r="R144" s="182">
        <v>0</v>
      </c>
      <c r="S144" s="178">
        <v>6</v>
      </c>
      <c r="T144" s="178">
        <v>7</v>
      </c>
      <c r="U144" s="183">
        <v>7</v>
      </c>
      <c r="V144" s="59"/>
      <c r="W144" s="60"/>
      <c r="X144" s="60"/>
      <c r="Y144" s="60"/>
      <c r="Z144" s="60"/>
      <c r="AA144" s="61"/>
      <c r="AB144" s="62">
        <v>200000000</v>
      </c>
      <c r="AC144" s="60"/>
      <c r="AD144" s="60"/>
      <c r="AE144" s="60"/>
      <c r="AF144" s="60"/>
      <c r="AG144" s="60"/>
      <c r="AH144" s="63"/>
      <c r="AI144" s="62">
        <v>210000000</v>
      </c>
      <c r="AJ144" s="60"/>
      <c r="AK144" s="60"/>
      <c r="AL144" s="60"/>
      <c r="AM144" s="60"/>
      <c r="AN144" s="60"/>
      <c r="AO144" s="63"/>
      <c r="AP144" s="62">
        <v>221000000</v>
      </c>
      <c r="AQ144" s="60"/>
      <c r="AR144" s="60"/>
      <c r="AS144" s="60"/>
      <c r="AT144" s="60"/>
      <c r="AU144" s="60"/>
      <c r="AV144" s="64"/>
      <c r="AW144" s="55">
        <f t="shared" si="12"/>
        <v>0</v>
      </c>
      <c r="AX144" s="55">
        <f t="shared" si="13"/>
        <v>200000000</v>
      </c>
      <c r="AY144" s="55">
        <f t="shared" si="14"/>
        <v>210000000</v>
      </c>
      <c r="AZ144" s="55">
        <f t="shared" si="15"/>
        <v>221000000</v>
      </c>
      <c r="BA144" s="55">
        <f t="shared" si="16"/>
        <v>631000000</v>
      </c>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row>
    <row r="145" spans="1:133" s="6" customFormat="1" ht="94.5" x14ac:dyDescent="0.25">
      <c r="A145" s="148" t="s">
        <v>28</v>
      </c>
      <c r="B145" s="56" t="s">
        <v>229</v>
      </c>
      <c r="C145" s="56" t="s">
        <v>334</v>
      </c>
      <c r="D145" s="56" t="s">
        <v>326</v>
      </c>
      <c r="E145" s="147">
        <v>2.1999999999999999E-2</v>
      </c>
      <c r="F145" s="147">
        <v>1.6E-2</v>
      </c>
      <c r="G145" s="108" t="s">
        <v>340</v>
      </c>
      <c r="H145" s="108" t="s">
        <v>1281</v>
      </c>
      <c r="I145" s="108" t="s">
        <v>341</v>
      </c>
      <c r="J145" s="108" t="s">
        <v>1683</v>
      </c>
      <c r="K145" s="99">
        <v>0</v>
      </c>
      <c r="L145" s="178">
        <v>2</v>
      </c>
      <c r="M145" s="54" t="s">
        <v>337</v>
      </c>
      <c r="N145" s="108" t="s">
        <v>143</v>
      </c>
      <c r="O145" s="54" t="s">
        <v>236</v>
      </c>
      <c r="P145" s="67" t="s">
        <v>39</v>
      </c>
      <c r="Q145" s="166" t="s">
        <v>1680</v>
      </c>
      <c r="R145" s="182">
        <v>0</v>
      </c>
      <c r="S145" s="178">
        <v>0</v>
      </c>
      <c r="T145" s="178">
        <v>0</v>
      </c>
      <c r="U145" s="183">
        <v>2</v>
      </c>
      <c r="V145" s="59"/>
      <c r="W145" s="60"/>
      <c r="X145" s="60"/>
      <c r="Y145" s="60"/>
      <c r="Z145" s="60"/>
      <c r="AA145" s="61"/>
      <c r="AB145" s="62"/>
      <c r="AC145" s="60"/>
      <c r="AD145" s="60"/>
      <c r="AE145" s="60"/>
      <c r="AF145" s="60"/>
      <c r="AG145" s="60"/>
      <c r="AH145" s="63"/>
      <c r="AI145" s="62">
        <v>189000000</v>
      </c>
      <c r="AJ145" s="60"/>
      <c r="AK145" s="60"/>
      <c r="AL145" s="60"/>
      <c r="AM145" s="60"/>
      <c r="AN145" s="60"/>
      <c r="AO145" s="63"/>
      <c r="AP145" s="62">
        <v>199000000</v>
      </c>
      <c r="AQ145" s="60"/>
      <c r="AR145" s="60"/>
      <c r="AS145" s="60"/>
      <c r="AT145" s="60"/>
      <c r="AU145" s="60"/>
      <c r="AV145" s="64"/>
      <c r="AW145" s="55">
        <f t="shared" si="12"/>
        <v>0</v>
      </c>
      <c r="AX145" s="55">
        <f t="shared" si="13"/>
        <v>0</v>
      </c>
      <c r="AY145" s="55">
        <f t="shared" si="14"/>
        <v>189000000</v>
      </c>
      <c r="AZ145" s="55">
        <f t="shared" si="15"/>
        <v>199000000</v>
      </c>
      <c r="BA145" s="55">
        <f t="shared" si="16"/>
        <v>388000000</v>
      </c>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row>
    <row r="146" spans="1:133" s="3" customFormat="1" ht="94.5" x14ac:dyDescent="0.25">
      <c r="A146" s="148" t="s">
        <v>28</v>
      </c>
      <c r="B146" s="56" t="s">
        <v>229</v>
      </c>
      <c r="C146" s="56" t="s">
        <v>342</v>
      </c>
      <c r="D146" s="56" t="s">
        <v>326</v>
      </c>
      <c r="E146" s="147">
        <v>2.1999999999999999E-2</v>
      </c>
      <c r="F146" s="147">
        <v>1.6E-2</v>
      </c>
      <c r="G146" s="66" t="s">
        <v>343</v>
      </c>
      <c r="H146" s="66" t="s">
        <v>1282</v>
      </c>
      <c r="I146" s="108" t="s">
        <v>344</v>
      </c>
      <c r="J146" s="108" t="s">
        <v>1685</v>
      </c>
      <c r="K146" s="99">
        <v>0</v>
      </c>
      <c r="L146" s="178">
        <v>1</v>
      </c>
      <c r="M146" s="54" t="s">
        <v>337</v>
      </c>
      <c r="N146" s="108" t="s">
        <v>143</v>
      </c>
      <c r="O146" s="54" t="s">
        <v>236</v>
      </c>
      <c r="P146" s="67" t="s">
        <v>42</v>
      </c>
      <c r="Q146" s="54" t="s">
        <v>1679</v>
      </c>
      <c r="R146" s="182">
        <v>1</v>
      </c>
      <c r="S146" s="178">
        <v>1</v>
      </c>
      <c r="T146" s="178">
        <v>1</v>
      </c>
      <c r="U146" s="183">
        <v>1</v>
      </c>
      <c r="V146" s="59">
        <v>120000000</v>
      </c>
      <c r="W146" s="60"/>
      <c r="X146" s="60"/>
      <c r="Y146" s="60"/>
      <c r="Z146" s="60"/>
      <c r="AA146" s="61"/>
      <c r="AB146" s="62">
        <v>75000000</v>
      </c>
      <c r="AC146" s="60"/>
      <c r="AD146" s="60"/>
      <c r="AE146" s="60"/>
      <c r="AF146" s="60"/>
      <c r="AG146" s="60"/>
      <c r="AH146" s="63"/>
      <c r="AI146" s="62">
        <f>158000000/2</f>
        <v>79000000</v>
      </c>
      <c r="AJ146" s="60"/>
      <c r="AK146" s="60"/>
      <c r="AL146" s="60"/>
      <c r="AM146" s="60"/>
      <c r="AN146" s="60"/>
      <c r="AO146" s="63"/>
      <c r="AP146" s="62">
        <f>166000000/2</f>
        <v>83000000</v>
      </c>
      <c r="AQ146" s="60"/>
      <c r="AR146" s="60"/>
      <c r="AS146" s="60"/>
      <c r="AT146" s="60"/>
      <c r="AU146" s="60"/>
      <c r="AV146" s="64"/>
      <c r="AW146" s="55">
        <f t="shared" si="12"/>
        <v>120000000</v>
      </c>
      <c r="AX146" s="55">
        <f t="shared" si="13"/>
        <v>75000000</v>
      </c>
      <c r="AY146" s="55">
        <f t="shared" si="14"/>
        <v>79000000</v>
      </c>
      <c r="AZ146" s="55">
        <f t="shared" si="15"/>
        <v>83000000</v>
      </c>
      <c r="BA146" s="55">
        <f t="shared" si="16"/>
        <v>357000000</v>
      </c>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row>
    <row r="147" spans="1:133" s="21" customFormat="1" ht="126" x14ac:dyDescent="0.25">
      <c r="A147" s="148" t="s">
        <v>28</v>
      </c>
      <c r="B147" s="56" t="s">
        <v>229</v>
      </c>
      <c r="C147" s="56" t="s">
        <v>342</v>
      </c>
      <c r="D147" s="56" t="s">
        <v>326</v>
      </c>
      <c r="E147" s="147">
        <v>2.1999999999999999E-2</v>
      </c>
      <c r="F147" s="147">
        <v>1.6E-2</v>
      </c>
      <c r="G147" s="66" t="s">
        <v>343</v>
      </c>
      <c r="H147" s="66" t="s">
        <v>1283</v>
      </c>
      <c r="I147" s="108" t="s">
        <v>345</v>
      </c>
      <c r="J147" s="108" t="s">
        <v>1683</v>
      </c>
      <c r="K147" s="99" t="s">
        <v>41</v>
      </c>
      <c r="L147" s="178">
        <v>12</v>
      </c>
      <c r="M147" s="54" t="s">
        <v>337</v>
      </c>
      <c r="N147" s="108" t="s">
        <v>143</v>
      </c>
      <c r="O147" s="54" t="s">
        <v>236</v>
      </c>
      <c r="P147" s="72" t="s">
        <v>39</v>
      </c>
      <c r="Q147" s="167" t="s">
        <v>1680</v>
      </c>
      <c r="R147" s="182">
        <v>0</v>
      </c>
      <c r="S147" s="178">
        <v>4</v>
      </c>
      <c r="T147" s="178">
        <v>4</v>
      </c>
      <c r="U147" s="183">
        <v>4</v>
      </c>
      <c r="V147" s="59"/>
      <c r="W147" s="60"/>
      <c r="X147" s="60"/>
      <c r="Y147" s="60"/>
      <c r="Z147" s="60"/>
      <c r="AA147" s="61"/>
      <c r="AB147" s="62">
        <v>75000000</v>
      </c>
      <c r="AC147" s="60"/>
      <c r="AD147" s="60"/>
      <c r="AE147" s="60"/>
      <c r="AF147" s="60"/>
      <c r="AG147" s="60"/>
      <c r="AH147" s="63"/>
      <c r="AI147" s="62">
        <f>158000000/2</f>
        <v>79000000</v>
      </c>
      <c r="AJ147" s="60"/>
      <c r="AK147" s="60"/>
      <c r="AL147" s="60"/>
      <c r="AM147" s="60"/>
      <c r="AN147" s="60"/>
      <c r="AO147" s="63"/>
      <c r="AP147" s="62">
        <f>166000000/2</f>
        <v>83000000</v>
      </c>
      <c r="AQ147" s="60"/>
      <c r="AR147" s="60"/>
      <c r="AS147" s="60"/>
      <c r="AT147" s="60"/>
      <c r="AU147" s="60"/>
      <c r="AV147" s="64"/>
      <c r="AW147" s="55">
        <f t="shared" si="12"/>
        <v>0</v>
      </c>
      <c r="AX147" s="55">
        <f t="shared" si="13"/>
        <v>75000000</v>
      </c>
      <c r="AY147" s="55">
        <f t="shared" si="14"/>
        <v>79000000</v>
      </c>
      <c r="AZ147" s="55">
        <f t="shared" si="15"/>
        <v>83000000</v>
      </c>
      <c r="BA147" s="55">
        <f t="shared" si="16"/>
        <v>237000000</v>
      </c>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row>
    <row r="148" spans="1:133" s="18" customFormat="1" ht="110.25" x14ac:dyDescent="0.25">
      <c r="A148" s="148" t="s">
        <v>28</v>
      </c>
      <c r="B148" s="56" t="s">
        <v>229</v>
      </c>
      <c r="C148" s="56" t="s">
        <v>342</v>
      </c>
      <c r="D148" s="56" t="s">
        <v>326</v>
      </c>
      <c r="E148" s="147">
        <v>2.1999999999999999E-2</v>
      </c>
      <c r="F148" s="147">
        <v>1.6E-2</v>
      </c>
      <c r="G148" s="66" t="s">
        <v>346</v>
      </c>
      <c r="H148" s="66" t="s">
        <v>1284</v>
      </c>
      <c r="I148" s="108" t="s">
        <v>347</v>
      </c>
      <c r="J148" s="108" t="s">
        <v>1683</v>
      </c>
      <c r="K148" s="99">
        <v>0</v>
      </c>
      <c r="L148" s="178">
        <v>4</v>
      </c>
      <c r="M148" s="54" t="s">
        <v>337</v>
      </c>
      <c r="N148" s="108" t="s">
        <v>143</v>
      </c>
      <c r="O148" s="54" t="s">
        <v>236</v>
      </c>
      <c r="P148" s="72" t="s">
        <v>39</v>
      </c>
      <c r="Q148" s="167" t="s">
        <v>1680</v>
      </c>
      <c r="R148" s="182">
        <v>0</v>
      </c>
      <c r="S148" s="178">
        <v>1</v>
      </c>
      <c r="T148" s="178">
        <v>2</v>
      </c>
      <c r="U148" s="183">
        <v>1</v>
      </c>
      <c r="V148" s="59"/>
      <c r="W148" s="60"/>
      <c r="X148" s="60"/>
      <c r="Y148" s="60"/>
      <c r="Z148" s="60"/>
      <c r="AA148" s="61"/>
      <c r="AB148" s="62">
        <v>120000000</v>
      </c>
      <c r="AC148" s="60"/>
      <c r="AD148" s="60"/>
      <c r="AE148" s="60"/>
      <c r="AF148" s="60"/>
      <c r="AG148" s="60"/>
      <c r="AH148" s="63"/>
      <c r="AI148" s="62">
        <f>126000000/2</f>
        <v>63000000</v>
      </c>
      <c r="AJ148" s="60"/>
      <c r="AK148" s="60"/>
      <c r="AL148" s="60"/>
      <c r="AM148" s="60"/>
      <c r="AN148" s="60"/>
      <c r="AO148" s="63"/>
      <c r="AP148" s="62">
        <v>133000000</v>
      </c>
      <c r="AQ148" s="60"/>
      <c r="AR148" s="60"/>
      <c r="AS148" s="60"/>
      <c r="AT148" s="60"/>
      <c r="AU148" s="60"/>
      <c r="AV148" s="64"/>
      <c r="AW148" s="55">
        <f t="shared" si="12"/>
        <v>0</v>
      </c>
      <c r="AX148" s="55">
        <f t="shared" si="13"/>
        <v>120000000</v>
      </c>
      <c r="AY148" s="55">
        <f t="shared" si="14"/>
        <v>63000000</v>
      </c>
      <c r="AZ148" s="55">
        <f t="shared" si="15"/>
        <v>133000000</v>
      </c>
      <c r="BA148" s="55">
        <f t="shared" si="16"/>
        <v>316000000</v>
      </c>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row>
    <row r="149" spans="1:133" s="14" customFormat="1" ht="110.25" x14ac:dyDescent="0.25">
      <c r="A149" s="148" t="s">
        <v>28</v>
      </c>
      <c r="B149" s="56" t="s">
        <v>229</v>
      </c>
      <c r="C149" s="56" t="s">
        <v>342</v>
      </c>
      <c r="D149" s="56" t="s">
        <v>326</v>
      </c>
      <c r="E149" s="147">
        <v>2.1999999999999999E-2</v>
      </c>
      <c r="F149" s="147">
        <v>1.6E-2</v>
      </c>
      <c r="G149" s="66" t="s">
        <v>346</v>
      </c>
      <c r="H149" s="66" t="s">
        <v>1285</v>
      </c>
      <c r="I149" s="108" t="s">
        <v>348</v>
      </c>
      <c r="J149" s="108" t="s">
        <v>1685</v>
      </c>
      <c r="K149" s="99">
        <v>0</v>
      </c>
      <c r="L149" s="178">
        <v>1</v>
      </c>
      <c r="M149" s="54" t="s">
        <v>337</v>
      </c>
      <c r="N149" s="108" t="s">
        <v>143</v>
      </c>
      <c r="O149" s="54" t="s">
        <v>236</v>
      </c>
      <c r="P149" s="72" t="s">
        <v>39</v>
      </c>
      <c r="Q149" s="167" t="s">
        <v>1680</v>
      </c>
      <c r="R149" s="182">
        <v>0</v>
      </c>
      <c r="S149" s="178">
        <v>0</v>
      </c>
      <c r="T149" s="178">
        <v>1</v>
      </c>
      <c r="U149" s="183">
        <v>0</v>
      </c>
      <c r="V149" s="59"/>
      <c r="W149" s="60"/>
      <c r="X149" s="60"/>
      <c r="Y149" s="60"/>
      <c r="Z149" s="60"/>
      <c r="AA149" s="61"/>
      <c r="AB149" s="62"/>
      <c r="AC149" s="60"/>
      <c r="AD149" s="60"/>
      <c r="AE149" s="60"/>
      <c r="AF149" s="60"/>
      <c r="AG149" s="60"/>
      <c r="AH149" s="63"/>
      <c r="AI149" s="62">
        <f>126000000/2</f>
        <v>63000000</v>
      </c>
      <c r="AJ149" s="60"/>
      <c r="AK149" s="60"/>
      <c r="AL149" s="60"/>
      <c r="AM149" s="60"/>
      <c r="AN149" s="60"/>
      <c r="AO149" s="63"/>
      <c r="AP149" s="62"/>
      <c r="AQ149" s="60"/>
      <c r="AR149" s="60"/>
      <c r="AS149" s="60"/>
      <c r="AT149" s="60"/>
      <c r="AU149" s="60"/>
      <c r="AV149" s="64"/>
      <c r="AW149" s="55">
        <f t="shared" si="12"/>
        <v>0</v>
      </c>
      <c r="AX149" s="55">
        <f t="shared" si="13"/>
        <v>0</v>
      </c>
      <c r="AY149" s="55">
        <f t="shared" si="14"/>
        <v>63000000</v>
      </c>
      <c r="AZ149" s="55">
        <f t="shared" si="15"/>
        <v>0</v>
      </c>
      <c r="BA149" s="55">
        <f t="shared" si="16"/>
        <v>63000000</v>
      </c>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row>
    <row r="150" spans="1:133" s="18" customFormat="1" ht="299.25" x14ac:dyDescent="0.25">
      <c r="A150" s="148" t="s">
        <v>28</v>
      </c>
      <c r="B150" s="56" t="s">
        <v>229</v>
      </c>
      <c r="C150" s="56" t="s">
        <v>342</v>
      </c>
      <c r="D150" s="56" t="s">
        <v>326</v>
      </c>
      <c r="E150" s="147">
        <v>2.1999999999999999E-2</v>
      </c>
      <c r="F150" s="147">
        <v>1.6E-2</v>
      </c>
      <c r="G150" s="108" t="s">
        <v>349</v>
      </c>
      <c r="H150" s="108" t="s">
        <v>1286</v>
      </c>
      <c r="I150" s="108" t="s">
        <v>350</v>
      </c>
      <c r="J150" s="108" t="s">
        <v>1685</v>
      </c>
      <c r="K150" s="99">
        <v>2</v>
      </c>
      <c r="L150" s="178">
        <v>20</v>
      </c>
      <c r="M150" s="54" t="s">
        <v>337</v>
      </c>
      <c r="N150" s="108" t="s">
        <v>143</v>
      </c>
      <c r="O150" s="54" t="s">
        <v>236</v>
      </c>
      <c r="P150" s="72" t="s">
        <v>39</v>
      </c>
      <c r="Q150" s="167" t="s">
        <v>1680</v>
      </c>
      <c r="R150" s="182">
        <v>2</v>
      </c>
      <c r="S150" s="178">
        <v>6</v>
      </c>
      <c r="T150" s="178">
        <v>6</v>
      </c>
      <c r="U150" s="183">
        <v>6</v>
      </c>
      <c r="V150" s="59">
        <v>50000000</v>
      </c>
      <c r="W150" s="60"/>
      <c r="X150" s="60"/>
      <c r="Y150" s="60"/>
      <c r="Z150" s="60"/>
      <c r="AA150" s="61"/>
      <c r="AB150" s="62">
        <v>350000000</v>
      </c>
      <c r="AC150" s="60"/>
      <c r="AD150" s="60"/>
      <c r="AE150" s="60"/>
      <c r="AF150" s="60"/>
      <c r="AG150" s="60"/>
      <c r="AH150" s="63"/>
      <c r="AI150" s="62">
        <v>368000000</v>
      </c>
      <c r="AJ150" s="60"/>
      <c r="AK150" s="60"/>
      <c r="AL150" s="60"/>
      <c r="AM150" s="60"/>
      <c r="AN150" s="60"/>
      <c r="AO150" s="63"/>
      <c r="AP150" s="62">
        <v>387000000</v>
      </c>
      <c r="AQ150" s="60"/>
      <c r="AR150" s="60"/>
      <c r="AS150" s="60"/>
      <c r="AT150" s="60"/>
      <c r="AU150" s="60"/>
      <c r="AV150" s="64"/>
      <c r="AW150" s="55">
        <f t="shared" si="12"/>
        <v>50000000</v>
      </c>
      <c r="AX150" s="55">
        <f t="shared" si="13"/>
        <v>350000000</v>
      </c>
      <c r="AY150" s="55">
        <f t="shared" si="14"/>
        <v>368000000</v>
      </c>
      <c r="AZ150" s="55">
        <f t="shared" si="15"/>
        <v>387000000</v>
      </c>
      <c r="BA150" s="55">
        <f t="shared" si="16"/>
        <v>1155000000</v>
      </c>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row>
    <row r="151" spans="1:133" s="14" customFormat="1" ht="94.5" x14ac:dyDescent="0.25">
      <c r="A151" s="148" t="s">
        <v>28</v>
      </c>
      <c r="B151" s="56" t="s">
        <v>229</v>
      </c>
      <c r="C151" s="56" t="s">
        <v>351</v>
      </c>
      <c r="D151" s="56" t="s">
        <v>326</v>
      </c>
      <c r="E151" s="147">
        <v>2.1999999999999999E-2</v>
      </c>
      <c r="F151" s="147">
        <v>1.6E-2</v>
      </c>
      <c r="G151" s="108" t="s">
        <v>352</v>
      </c>
      <c r="H151" s="108" t="s">
        <v>1287</v>
      </c>
      <c r="I151" s="108" t="s">
        <v>353</v>
      </c>
      <c r="J151" s="108" t="s">
        <v>1685</v>
      </c>
      <c r="K151" s="99">
        <v>0</v>
      </c>
      <c r="L151" s="178">
        <v>1</v>
      </c>
      <c r="M151" s="54" t="s">
        <v>337</v>
      </c>
      <c r="N151" s="108" t="s">
        <v>143</v>
      </c>
      <c r="O151" s="54" t="s">
        <v>236</v>
      </c>
      <c r="P151" s="67" t="s">
        <v>42</v>
      </c>
      <c r="Q151" s="54" t="s">
        <v>1679</v>
      </c>
      <c r="R151" s="182">
        <v>1</v>
      </c>
      <c r="S151" s="178">
        <v>1</v>
      </c>
      <c r="T151" s="178">
        <v>1</v>
      </c>
      <c r="U151" s="183">
        <v>1</v>
      </c>
      <c r="V151" s="59">
        <v>800000000</v>
      </c>
      <c r="W151" s="60"/>
      <c r="X151" s="60"/>
      <c r="Y151" s="60"/>
      <c r="Z151" s="60"/>
      <c r="AA151" s="61"/>
      <c r="AB151" s="62">
        <v>735000000</v>
      </c>
      <c r="AC151" s="60"/>
      <c r="AD151" s="60"/>
      <c r="AE151" s="60"/>
      <c r="AF151" s="60"/>
      <c r="AG151" s="60"/>
      <c r="AH151" s="63"/>
      <c r="AI151" s="62">
        <v>772000000</v>
      </c>
      <c r="AJ151" s="60"/>
      <c r="AK151" s="60"/>
      <c r="AL151" s="60"/>
      <c r="AM151" s="60"/>
      <c r="AN151" s="60"/>
      <c r="AO151" s="63"/>
      <c r="AP151" s="62">
        <v>811000000</v>
      </c>
      <c r="AQ151" s="60"/>
      <c r="AR151" s="60"/>
      <c r="AS151" s="60"/>
      <c r="AT151" s="60"/>
      <c r="AU151" s="60"/>
      <c r="AV151" s="64"/>
      <c r="AW151" s="55">
        <f t="shared" si="12"/>
        <v>800000000</v>
      </c>
      <c r="AX151" s="55">
        <f t="shared" si="13"/>
        <v>735000000</v>
      </c>
      <c r="AY151" s="55">
        <f t="shared" si="14"/>
        <v>772000000</v>
      </c>
      <c r="AZ151" s="55">
        <f t="shared" si="15"/>
        <v>811000000</v>
      </c>
      <c r="BA151" s="55">
        <f t="shared" si="16"/>
        <v>3118000000</v>
      </c>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c r="DS151" s="41"/>
      <c r="DT151" s="41"/>
      <c r="DU151" s="41"/>
      <c r="DV151" s="41"/>
      <c r="DW151" s="41"/>
      <c r="DX151" s="41"/>
      <c r="DY151" s="41"/>
      <c r="DZ151" s="41"/>
      <c r="EA151" s="41"/>
      <c r="EB151" s="41"/>
      <c r="EC151" s="41"/>
    </row>
    <row r="152" spans="1:133" s="29" customFormat="1" ht="141.75" x14ac:dyDescent="0.25">
      <c r="A152" s="148" t="s">
        <v>28</v>
      </c>
      <c r="B152" s="56" t="s">
        <v>229</v>
      </c>
      <c r="C152" s="56" t="s">
        <v>351</v>
      </c>
      <c r="D152" s="56" t="s">
        <v>326</v>
      </c>
      <c r="E152" s="147">
        <v>2.1999999999999999E-2</v>
      </c>
      <c r="F152" s="147">
        <v>1.6E-2</v>
      </c>
      <c r="G152" s="108" t="s">
        <v>354</v>
      </c>
      <c r="H152" s="108" t="s">
        <v>1288</v>
      </c>
      <c r="I152" s="108" t="s">
        <v>355</v>
      </c>
      <c r="J152" s="108" t="s">
        <v>1682</v>
      </c>
      <c r="K152" s="178">
        <v>0</v>
      </c>
      <c r="L152" s="179">
        <v>100</v>
      </c>
      <c r="M152" s="54" t="s">
        <v>337</v>
      </c>
      <c r="N152" s="108" t="s">
        <v>143</v>
      </c>
      <c r="O152" s="54" t="s">
        <v>236</v>
      </c>
      <c r="P152" s="67" t="s">
        <v>42</v>
      </c>
      <c r="Q152" s="54" t="s">
        <v>1679</v>
      </c>
      <c r="R152" s="182">
        <v>100</v>
      </c>
      <c r="S152" s="178">
        <v>100</v>
      </c>
      <c r="T152" s="178">
        <v>100</v>
      </c>
      <c r="U152" s="183">
        <v>100</v>
      </c>
      <c r="V152" s="59">
        <v>1000000000</v>
      </c>
      <c r="W152" s="60"/>
      <c r="X152" s="60"/>
      <c r="Y152" s="60"/>
      <c r="Z152" s="60"/>
      <c r="AA152" s="61"/>
      <c r="AB152" s="62">
        <v>1000000000</v>
      </c>
      <c r="AC152" s="60"/>
      <c r="AD152" s="60"/>
      <c r="AE152" s="60"/>
      <c r="AF152" s="60"/>
      <c r="AG152" s="60"/>
      <c r="AH152" s="63"/>
      <c r="AI152" s="62">
        <v>1050000000</v>
      </c>
      <c r="AJ152" s="60"/>
      <c r="AK152" s="60"/>
      <c r="AL152" s="60"/>
      <c r="AM152" s="60"/>
      <c r="AN152" s="60"/>
      <c r="AO152" s="63"/>
      <c r="AP152" s="62">
        <v>1103000000</v>
      </c>
      <c r="AQ152" s="60"/>
      <c r="AR152" s="60"/>
      <c r="AS152" s="60"/>
      <c r="AT152" s="60"/>
      <c r="AU152" s="60"/>
      <c r="AV152" s="64"/>
      <c r="AW152" s="55">
        <f t="shared" si="12"/>
        <v>1000000000</v>
      </c>
      <c r="AX152" s="55">
        <f t="shared" si="13"/>
        <v>1000000000</v>
      </c>
      <c r="AY152" s="55">
        <f t="shared" si="14"/>
        <v>1050000000</v>
      </c>
      <c r="AZ152" s="55">
        <f t="shared" si="15"/>
        <v>1103000000</v>
      </c>
      <c r="BA152" s="55">
        <f t="shared" si="16"/>
        <v>4153000000</v>
      </c>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row>
    <row r="153" spans="1:133" s="16" customFormat="1" ht="94.5" x14ac:dyDescent="0.25">
      <c r="A153" s="148" t="s">
        <v>28</v>
      </c>
      <c r="B153" s="56" t="s">
        <v>229</v>
      </c>
      <c r="C153" s="56" t="s">
        <v>351</v>
      </c>
      <c r="D153" s="56" t="s">
        <v>326</v>
      </c>
      <c r="E153" s="147">
        <v>2.1999999999999999E-2</v>
      </c>
      <c r="F153" s="147">
        <v>1.6E-2</v>
      </c>
      <c r="G153" s="108" t="s">
        <v>356</v>
      </c>
      <c r="H153" s="108" t="s">
        <v>1289</v>
      </c>
      <c r="I153" s="108" t="s">
        <v>357</v>
      </c>
      <c r="J153" s="108" t="s">
        <v>1685</v>
      </c>
      <c r="K153" s="99">
        <v>0</v>
      </c>
      <c r="L153" s="178">
        <v>20</v>
      </c>
      <c r="M153" s="54" t="s">
        <v>337</v>
      </c>
      <c r="N153" s="108" t="s">
        <v>143</v>
      </c>
      <c r="O153" s="54" t="s">
        <v>236</v>
      </c>
      <c r="P153" s="72" t="s">
        <v>39</v>
      </c>
      <c r="Q153" s="167" t="s">
        <v>1680</v>
      </c>
      <c r="R153" s="182">
        <v>3</v>
      </c>
      <c r="S153" s="178">
        <v>5</v>
      </c>
      <c r="T153" s="178">
        <v>6</v>
      </c>
      <c r="U153" s="183">
        <v>6</v>
      </c>
      <c r="V153" s="59">
        <v>50000000</v>
      </c>
      <c r="W153" s="60"/>
      <c r="X153" s="60"/>
      <c r="Y153" s="60"/>
      <c r="Z153" s="60"/>
      <c r="AA153" s="61"/>
      <c r="AB153" s="62">
        <v>300000000</v>
      </c>
      <c r="AC153" s="60"/>
      <c r="AD153" s="60"/>
      <c r="AE153" s="60"/>
      <c r="AF153" s="60"/>
      <c r="AG153" s="60"/>
      <c r="AH153" s="63"/>
      <c r="AI153" s="62">
        <v>315000000</v>
      </c>
      <c r="AJ153" s="60"/>
      <c r="AK153" s="60"/>
      <c r="AL153" s="60"/>
      <c r="AM153" s="60"/>
      <c r="AN153" s="60"/>
      <c r="AO153" s="63"/>
      <c r="AP153" s="62">
        <v>331000000</v>
      </c>
      <c r="AQ153" s="60"/>
      <c r="AR153" s="60"/>
      <c r="AS153" s="60"/>
      <c r="AT153" s="60"/>
      <c r="AU153" s="60"/>
      <c r="AV153" s="64"/>
      <c r="AW153" s="55">
        <f t="shared" si="12"/>
        <v>50000000</v>
      </c>
      <c r="AX153" s="55">
        <f t="shared" si="13"/>
        <v>300000000</v>
      </c>
      <c r="AY153" s="55">
        <f t="shared" si="14"/>
        <v>315000000</v>
      </c>
      <c r="AZ153" s="55">
        <f t="shared" si="15"/>
        <v>331000000</v>
      </c>
      <c r="BA153" s="55">
        <f t="shared" si="16"/>
        <v>996000000</v>
      </c>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row>
    <row r="154" spans="1:133" s="12" customFormat="1" ht="94.5" x14ac:dyDescent="0.25">
      <c r="A154" s="148" t="s">
        <v>28</v>
      </c>
      <c r="B154" s="56" t="s">
        <v>229</v>
      </c>
      <c r="C154" s="56" t="s">
        <v>351</v>
      </c>
      <c r="D154" s="56" t="s">
        <v>326</v>
      </c>
      <c r="E154" s="147">
        <v>2.1999999999999999E-2</v>
      </c>
      <c r="F154" s="147">
        <v>1.6E-2</v>
      </c>
      <c r="G154" s="108" t="s">
        <v>358</v>
      </c>
      <c r="H154" s="108" t="s">
        <v>1290</v>
      </c>
      <c r="I154" s="108" t="s">
        <v>359</v>
      </c>
      <c r="J154" s="108" t="s">
        <v>1683</v>
      </c>
      <c r="K154" s="99">
        <v>0</v>
      </c>
      <c r="L154" s="178">
        <v>12</v>
      </c>
      <c r="M154" s="108" t="s">
        <v>337</v>
      </c>
      <c r="N154" s="108" t="s">
        <v>143</v>
      </c>
      <c r="O154" s="54" t="s">
        <v>360</v>
      </c>
      <c r="P154" s="72" t="s">
        <v>39</v>
      </c>
      <c r="Q154" s="167" t="s">
        <v>1680</v>
      </c>
      <c r="R154" s="182">
        <v>3</v>
      </c>
      <c r="S154" s="178">
        <v>3</v>
      </c>
      <c r="T154" s="178">
        <v>3</v>
      </c>
      <c r="U154" s="183">
        <v>3</v>
      </c>
      <c r="V154" s="59">
        <v>60000000</v>
      </c>
      <c r="W154" s="60"/>
      <c r="X154" s="60"/>
      <c r="Y154" s="60"/>
      <c r="Z154" s="60"/>
      <c r="AA154" s="61"/>
      <c r="AB154" s="62">
        <v>220000000</v>
      </c>
      <c r="AC154" s="60"/>
      <c r="AD154" s="60"/>
      <c r="AE154" s="60"/>
      <c r="AF154" s="60"/>
      <c r="AG154" s="60"/>
      <c r="AH154" s="63"/>
      <c r="AI154" s="62">
        <v>231000000</v>
      </c>
      <c r="AJ154" s="60"/>
      <c r="AK154" s="60"/>
      <c r="AL154" s="60"/>
      <c r="AM154" s="60"/>
      <c r="AN154" s="60"/>
      <c r="AO154" s="63"/>
      <c r="AP154" s="62">
        <v>243000000</v>
      </c>
      <c r="AQ154" s="60"/>
      <c r="AR154" s="60"/>
      <c r="AS154" s="60"/>
      <c r="AT154" s="60"/>
      <c r="AU154" s="60"/>
      <c r="AV154" s="64"/>
      <c r="AW154" s="55">
        <f t="shared" si="12"/>
        <v>60000000</v>
      </c>
      <c r="AX154" s="55">
        <f t="shared" si="13"/>
        <v>220000000</v>
      </c>
      <c r="AY154" s="55">
        <f t="shared" si="14"/>
        <v>231000000</v>
      </c>
      <c r="AZ154" s="55">
        <f t="shared" si="15"/>
        <v>243000000</v>
      </c>
      <c r="BA154" s="55">
        <f t="shared" si="16"/>
        <v>754000000</v>
      </c>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c r="DS154" s="41"/>
      <c r="DT154" s="41"/>
      <c r="DU154" s="41"/>
      <c r="DV154" s="41"/>
      <c r="DW154" s="41"/>
      <c r="DX154" s="41"/>
      <c r="DY154" s="41"/>
      <c r="DZ154" s="41"/>
      <c r="EA154" s="41"/>
      <c r="EB154" s="41"/>
      <c r="EC154" s="41"/>
    </row>
    <row r="155" spans="1:133" s="16" customFormat="1" ht="267.75" x14ac:dyDescent="0.25">
      <c r="A155" s="148" t="s">
        <v>28</v>
      </c>
      <c r="B155" s="56" t="s">
        <v>361</v>
      </c>
      <c r="C155" s="56" t="s">
        <v>362</v>
      </c>
      <c r="D155" s="56" t="s">
        <v>363</v>
      </c>
      <c r="E155" s="56" t="s">
        <v>364</v>
      </c>
      <c r="F155" s="56" t="s">
        <v>365</v>
      </c>
      <c r="G155" s="66" t="s">
        <v>366</v>
      </c>
      <c r="H155" s="66" t="s">
        <v>1291</v>
      </c>
      <c r="I155" s="108" t="s">
        <v>367</v>
      </c>
      <c r="J155" s="108" t="s">
        <v>1683</v>
      </c>
      <c r="K155" s="99">
        <v>841</v>
      </c>
      <c r="L155" s="178">
        <v>1093</v>
      </c>
      <c r="M155" s="108" t="s">
        <v>368</v>
      </c>
      <c r="N155" s="108" t="s">
        <v>369</v>
      </c>
      <c r="O155" s="54" t="s">
        <v>360</v>
      </c>
      <c r="P155" s="72" t="s">
        <v>1677</v>
      </c>
      <c r="Q155" s="167" t="s">
        <v>1680</v>
      </c>
      <c r="R155" s="182">
        <v>0</v>
      </c>
      <c r="S155" s="178">
        <v>60</v>
      </c>
      <c r="T155" s="178">
        <v>92</v>
      </c>
      <c r="U155" s="183">
        <v>100</v>
      </c>
      <c r="V155" s="59"/>
      <c r="W155" s="60"/>
      <c r="X155" s="60"/>
      <c r="Y155" s="60"/>
      <c r="Z155" s="60"/>
      <c r="AA155" s="61"/>
      <c r="AB155" s="62">
        <v>12800000000</v>
      </c>
      <c r="AC155" s="60"/>
      <c r="AD155" s="60"/>
      <c r="AE155" s="60"/>
      <c r="AF155" s="60"/>
      <c r="AG155" s="60"/>
      <c r="AH155" s="63"/>
      <c r="AI155" s="62">
        <v>8005000000</v>
      </c>
      <c r="AJ155" s="60"/>
      <c r="AK155" s="60"/>
      <c r="AL155" s="60"/>
      <c r="AM155" s="60"/>
      <c r="AN155" s="60"/>
      <c r="AO155" s="63"/>
      <c r="AP155" s="62">
        <v>12363750000</v>
      </c>
      <c r="AQ155" s="60"/>
      <c r="AR155" s="60"/>
      <c r="AS155" s="60"/>
      <c r="AT155" s="60"/>
      <c r="AU155" s="60"/>
      <c r="AV155" s="64"/>
      <c r="AW155" s="55">
        <f t="shared" si="12"/>
        <v>0</v>
      </c>
      <c r="AX155" s="55">
        <f t="shared" si="13"/>
        <v>12800000000</v>
      </c>
      <c r="AY155" s="55">
        <f t="shared" si="14"/>
        <v>8005000000</v>
      </c>
      <c r="AZ155" s="55">
        <f t="shared" si="15"/>
        <v>12363750000</v>
      </c>
      <c r="BA155" s="55">
        <f t="shared" si="16"/>
        <v>33168750000</v>
      </c>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row>
    <row r="156" spans="1:133" s="12" customFormat="1" ht="267.75" x14ac:dyDescent="0.25">
      <c r="A156" s="148" t="s">
        <v>28</v>
      </c>
      <c r="B156" s="56" t="s">
        <v>361</v>
      </c>
      <c r="C156" s="56" t="s">
        <v>362</v>
      </c>
      <c r="D156" s="56" t="s">
        <v>363</v>
      </c>
      <c r="E156" s="56" t="s">
        <v>364</v>
      </c>
      <c r="F156" s="56" t="s">
        <v>365</v>
      </c>
      <c r="G156" s="66" t="s">
        <v>366</v>
      </c>
      <c r="H156" s="66" t="s">
        <v>1292</v>
      </c>
      <c r="I156" s="108" t="s">
        <v>370</v>
      </c>
      <c r="J156" s="108" t="s">
        <v>1683</v>
      </c>
      <c r="K156" s="99">
        <v>197</v>
      </c>
      <c r="L156" s="178">
        <v>100</v>
      </c>
      <c r="M156" s="108" t="s">
        <v>368</v>
      </c>
      <c r="N156" s="108" t="s">
        <v>369</v>
      </c>
      <c r="O156" s="54" t="s">
        <v>360</v>
      </c>
      <c r="P156" s="72" t="s">
        <v>39</v>
      </c>
      <c r="Q156" s="167" t="s">
        <v>1680</v>
      </c>
      <c r="R156" s="182">
        <v>50</v>
      </c>
      <c r="S156" s="178">
        <v>20</v>
      </c>
      <c r="T156" s="178">
        <v>20</v>
      </c>
      <c r="U156" s="183">
        <v>10</v>
      </c>
      <c r="V156" s="59">
        <v>11418695000</v>
      </c>
      <c r="W156" s="60"/>
      <c r="X156" s="60"/>
      <c r="Y156" s="60"/>
      <c r="Z156" s="60"/>
      <c r="AA156" s="61"/>
      <c r="AB156" s="62">
        <v>7000000000</v>
      </c>
      <c r="AC156" s="60"/>
      <c r="AD156" s="60"/>
      <c r="AE156" s="60"/>
      <c r="AF156" s="60"/>
      <c r="AG156" s="60"/>
      <c r="AH156" s="63"/>
      <c r="AI156" s="62">
        <v>4050000000</v>
      </c>
      <c r="AJ156" s="60"/>
      <c r="AK156" s="60"/>
      <c r="AL156" s="60"/>
      <c r="AM156" s="60"/>
      <c r="AN156" s="60"/>
      <c r="AO156" s="63"/>
      <c r="AP156" s="62">
        <v>5000000000</v>
      </c>
      <c r="AQ156" s="60"/>
      <c r="AR156" s="60"/>
      <c r="AS156" s="60"/>
      <c r="AT156" s="60"/>
      <c r="AU156" s="60"/>
      <c r="AV156" s="64"/>
      <c r="AW156" s="55">
        <f t="shared" si="12"/>
        <v>11418695000</v>
      </c>
      <c r="AX156" s="55">
        <f t="shared" si="13"/>
        <v>7000000000</v>
      </c>
      <c r="AY156" s="55">
        <f t="shared" si="14"/>
        <v>4050000000</v>
      </c>
      <c r="AZ156" s="55">
        <f t="shared" si="15"/>
        <v>5000000000</v>
      </c>
      <c r="BA156" s="55">
        <f t="shared" si="16"/>
        <v>27468695000</v>
      </c>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c r="DS156" s="41"/>
      <c r="DT156" s="41"/>
      <c r="DU156" s="41"/>
      <c r="DV156" s="41"/>
      <c r="DW156" s="41"/>
      <c r="DX156" s="41"/>
      <c r="DY156" s="41"/>
      <c r="DZ156" s="41"/>
      <c r="EA156" s="41"/>
      <c r="EB156" s="41"/>
      <c r="EC156" s="41"/>
    </row>
    <row r="157" spans="1:133" s="16" customFormat="1" ht="267.75" x14ac:dyDescent="0.25">
      <c r="A157" s="148" t="s">
        <v>28</v>
      </c>
      <c r="B157" s="56" t="s">
        <v>361</v>
      </c>
      <c r="C157" s="56" t="s">
        <v>362</v>
      </c>
      <c r="D157" s="56" t="s">
        <v>363</v>
      </c>
      <c r="E157" s="56" t="s">
        <v>364</v>
      </c>
      <c r="F157" s="56" t="s">
        <v>365</v>
      </c>
      <c r="G157" s="66" t="s">
        <v>366</v>
      </c>
      <c r="H157" s="66" t="s">
        <v>1293</v>
      </c>
      <c r="I157" s="108" t="s">
        <v>371</v>
      </c>
      <c r="J157" s="108" t="s">
        <v>1682</v>
      </c>
      <c r="K157" s="178">
        <v>0</v>
      </c>
      <c r="L157" s="179">
        <v>100</v>
      </c>
      <c r="M157" s="108" t="s">
        <v>368</v>
      </c>
      <c r="N157" s="108" t="s">
        <v>369</v>
      </c>
      <c r="O157" s="54" t="s">
        <v>360</v>
      </c>
      <c r="P157" s="72" t="s">
        <v>39</v>
      </c>
      <c r="Q157" s="167" t="s">
        <v>1680</v>
      </c>
      <c r="R157" s="182">
        <v>50</v>
      </c>
      <c r="S157" s="178">
        <v>50</v>
      </c>
      <c r="T157" s="178">
        <v>0</v>
      </c>
      <c r="U157" s="183">
        <v>0</v>
      </c>
      <c r="V157" s="59">
        <v>610000000</v>
      </c>
      <c r="W157" s="60"/>
      <c r="X157" s="60"/>
      <c r="Y157" s="60"/>
      <c r="Z157" s="60"/>
      <c r="AA157" s="61"/>
      <c r="AB157" s="62"/>
      <c r="AC157" s="60"/>
      <c r="AD157" s="60"/>
      <c r="AE157" s="60"/>
      <c r="AF157" s="60"/>
      <c r="AG157" s="60"/>
      <c r="AH157" s="63"/>
      <c r="AI157" s="62"/>
      <c r="AJ157" s="60"/>
      <c r="AK157" s="60"/>
      <c r="AL157" s="60"/>
      <c r="AM157" s="60"/>
      <c r="AN157" s="60"/>
      <c r="AO157" s="63"/>
      <c r="AP157" s="62"/>
      <c r="AQ157" s="60"/>
      <c r="AR157" s="60"/>
      <c r="AS157" s="60"/>
      <c r="AT157" s="60"/>
      <c r="AU157" s="60"/>
      <c r="AV157" s="64"/>
      <c r="AW157" s="55">
        <f t="shared" si="12"/>
        <v>610000000</v>
      </c>
      <c r="AX157" s="55">
        <f t="shared" si="13"/>
        <v>0</v>
      </c>
      <c r="AY157" s="55">
        <f t="shared" si="14"/>
        <v>0</v>
      </c>
      <c r="AZ157" s="55">
        <f t="shared" si="15"/>
        <v>0</v>
      </c>
      <c r="BA157" s="55">
        <f t="shared" si="16"/>
        <v>610000000</v>
      </c>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row>
    <row r="158" spans="1:133" s="12" customFormat="1" ht="267.75" x14ac:dyDescent="0.25">
      <c r="A158" s="148" t="s">
        <v>28</v>
      </c>
      <c r="B158" s="56" t="s">
        <v>361</v>
      </c>
      <c r="C158" s="56" t="s">
        <v>362</v>
      </c>
      <c r="D158" s="56" t="s">
        <v>363</v>
      </c>
      <c r="E158" s="56" t="s">
        <v>364</v>
      </c>
      <c r="F158" s="56" t="s">
        <v>365</v>
      </c>
      <c r="G158" s="66" t="s">
        <v>366</v>
      </c>
      <c r="H158" s="66" t="s">
        <v>1294</v>
      </c>
      <c r="I158" s="108" t="s">
        <v>372</v>
      </c>
      <c r="J158" s="108" t="s">
        <v>1683</v>
      </c>
      <c r="K158" s="99">
        <v>1</v>
      </c>
      <c r="L158" s="178">
        <v>1</v>
      </c>
      <c r="M158" s="108" t="s">
        <v>368</v>
      </c>
      <c r="N158" s="108" t="s">
        <v>369</v>
      </c>
      <c r="O158" s="54" t="s">
        <v>360</v>
      </c>
      <c r="P158" s="67" t="s">
        <v>42</v>
      </c>
      <c r="Q158" s="54" t="s">
        <v>1679</v>
      </c>
      <c r="R158" s="182">
        <v>1</v>
      </c>
      <c r="S158" s="178">
        <v>1</v>
      </c>
      <c r="T158" s="178">
        <v>1</v>
      </c>
      <c r="U158" s="183">
        <v>1</v>
      </c>
      <c r="V158" s="59">
        <v>691305000</v>
      </c>
      <c r="W158" s="60"/>
      <c r="X158" s="60"/>
      <c r="Y158" s="60"/>
      <c r="Z158" s="60"/>
      <c r="AA158" s="61"/>
      <c r="AB158" s="62">
        <v>700000000</v>
      </c>
      <c r="AC158" s="60"/>
      <c r="AD158" s="60"/>
      <c r="AE158" s="60"/>
      <c r="AF158" s="60"/>
      <c r="AG158" s="60"/>
      <c r="AH158" s="63"/>
      <c r="AI158" s="62">
        <v>720000000</v>
      </c>
      <c r="AJ158" s="60"/>
      <c r="AK158" s="60"/>
      <c r="AL158" s="60"/>
      <c r="AM158" s="60"/>
      <c r="AN158" s="60"/>
      <c r="AO158" s="63"/>
      <c r="AP158" s="62">
        <v>750000000</v>
      </c>
      <c r="AQ158" s="60"/>
      <c r="AR158" s="60"/>
      <c r="AS158" s="60"/>
      <c r="AT158" s="60"/>
      <c r="AU158" s="60"/>
      <c r="AV158" s="64"/>
      <c r="AW158" s="55">
        <f t="shared" si="12"/>
        <v>691305000</v>
      </c>
      <c r="AX158" s="55">
        <f t="shared" si="13"/>
        <v>700000000</v>
      </c>
      <c r="AY158" s="55">
        <f t="shared" si="14"/>
        <v>720000000</v>
      </c>
      <c r="AZ158" s="55">
        <f t="shared" si="15"/>
        <v>750000000</v>
      </c>
      <c r="BA158" s="55">
        <f t="shared" si="16"/>
        <v>2861305000</v>
      </c>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c r="EA158" s="41"/>
      <c r="EB158" s="41"/>
      <c r="EC158" s="41"/>
    </row>
    <row r="159" spans="1:133" s="12" customFormat="1" ht="267.75" x14ac:dyDescent="0.25">
      <c r="A159" s="148" t="s">
        <v>28</v>
      </c>
      <c r="B159" s="56" t="s">
        <v>361</v>
      </c>
      <c r="C159" s="56" t="s">
        <v>362</v>
      </c>
      <c r="D159" s="56" t="s">
        <v>363</v>
      </c>
      <c r="E159" s="56" t="s">
        <v>364</v>
      </c>
      <c r="F159" s="56" t="s">
        <v>365</v>
      </c>
      <c r="G159" s="56" t="s">
        <v>373</v>
      </c>
      <c r="H159" s="56" t="s">
        <v>1295</v>
      </c>
      <c r="I159" s="108" t="s">
        <v>374</v>
      </c>
      <c r="J159" s="108" t="s">
        <v>1683</v>
      </c>
      <c r="K159" s="99">
        <v>0</v>
      </c>
      <c r="L159" s="178">
        <v>11</v>
      </c>
      <c r="M159" s="108" t="s">
        <v>368</v>
      </c>
      <c r="N159" s="108" t="s">
        <v>369</v>
      </c>
      <c r="O159" s="54" t="s">
        <v>360</v>
      </c>
      <c r="P159" s="72" t="s">
        <v>39</v>
      </c>
      <c r="Q159" s="167" t="s">
        <v>1680</v>
      </c>
      <c r="R159" s="182">
        <v>1</v>
      </c>
      <c r="S159" s="178">
        <v>3</v>
      </c>
      <c r="T159" s="178">
        <v>3</v>
      </c>
      <c r="U159" s="183">
        <v>4</v>
      </c>
      <c r="V159" s="59">
        <v>2000000000</v>
      </c>
      <c r="W159" s="60"/>
      <c r="X159" s="60"/>
      <c r="Y159" s="60"/>
      <c r="Z159" s="60"/>
      <c r="AA159" s="61"/>
      <c r="AB159" s="62">
        <v>3742000000</v>
      </c>
      <c r="AC159" s="60"/>
      <c r="AD159" s="60"/>
      <c r="AE159" s="60"/>
      <c r="AF159" s="60"/>
      <c r="AG159" s="60"/>
      <c r="AH159" s="63"/>
      <c r="AI159" s="62">
        <v>3000000000</v>
      </c>
      <c r="AJ159" s="60"/>
      <c r="AK159" s="60"/>
      <c r="AL159" s="60"/>
      <c r="AM159" s="60"/>
      <c r="AN159" s="60"/>
      <c r="AO159" s="63"/>
      <c r="AP159" s="62">
        <v>4472125000</v>
      </c>
      <c r="AQ159" s="60"/>
      <c r="AR159" s="60"/>
      <c r="AS159" s="60"/>
      <c r="AT159" s="60"/>
      <c r="AU159" s="60"/>
      <c r="AV159" s="64"/>
      <c r="AW159" s="55">
        <f t="shared" si="12"/>
        <v>2000000000</v>
      </c>
      <c r="AX159" s="55">
        <f t="shared" si="13"/>
        <v>3742000000</v>
      </c>
      <c r="AY159" s="55">
        <f t="shared" si="14"/>
        <v>3000000000</v>
      </c>
      <c r="AZ159" s="55">
        <f t="shared" si="15"/>
        <v>4472125000</v>
      </c>
      <c r="BA159" s="55">
        <f t="shared" si="16"/>
        <v>13214125000</v>
      </c>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c r="DS159" s="41"/>
      <c r="DT159" s="41"/>
      <c r="DU159" s="41"/>
      <c r="DV159" s="41"/>
      <c r="DW159" s="41"/>
      <c r="DX159" s="41"/>
      <c r="DY159" s="41"/>
      <c r="DZ159" s="41"/>
      <c r="EA159" s="41"/>
      <c r="EB159" s="41"/>
      <c r="EC159" s="41"/>
    </row>
    <row r="160" spans="1:133" s="11" customFormat="1" ht="267.75" x14ac:dyDescent="0.25">
      <c r="A160" s="148" t="s">
        <v>28</v>
      </c>
      <c r="B160" s="56" t="s">
        <v>361</v>
      </c>
      <c r="C160" s="56" t="s">
        <v>362</v>
      </c>
      <c r="D160" s="56" t="s">
        <v>363</v>
      </c>
      <c r="E160" s="56" t="s">
        <v>364</v>
      </c>
      <c r="F160" s="56" t="s">
        <v>365</v>
      </c>
      <c r="G160" s="56" t="s">
        <v>373</v>
      </c>
      <c r="H160" s="56" t="s">
        <v>1296</v>
      </c>
      <c r="I160" s="108" t="s">
        <v>375</v>
      </c>
      <c r="J160" s="108" t="s">
        <v>1683</v>
      </c>
      <c r="K160" s="99">
        <v>2</v>
      </c>
      <c r="L160" s="178">
        <v>12</v>
      </c>
      <c r="M160" s="108" t="s">
        <v>368</v>
      </c>
      <c r="N160" s="108" t="s">
        <v>369</v>
      </c>
      <c r="O160" s="54" t="s">
        <v>360</v>
      </c>
      <c r="P160" s="67" t="s">
        <v>39</v>
      </c>
      <c r="Q160" s="166" t="s">
        <v>1680</v>
      </c>
      <c r="R160" s="182">
        <v>2</v>
      </c>
      <c r="S160" s="178">
        <v>4</v>
      </c>
      <c r="T160" s="178">
        <v>3</v>
      </c>
      <c r="U160" s="183">
        <v>3</v>
      </c>
      <c r="V160" s="59">
        <v>350000000</v>
      </c>
      <c r="W160" s="60"/>
      <c r="X160" s="60"/>
      <c r="Y160" s="60"/>
      <c r="Z160" s="60"/>
      <c r="AA160" s="61"/>
      <c r="AB160" s="62">
        <v>1000000000</v>
      </c>
      <c r="AC160" s="60"/>
      <c r="AD160" s="60"/>
      <c r="AE160" s="60"/>
      <c r="AF160" s="60"/>
      <c r="AG160" s="60"/>
      <c r="AH160" s="63"/>
      <c r="AI160" s="62">
        <v>800000000</v>
      </c>
      <c r="AJ160" s="60"/>
      <c r="AK160" s="60"/>
      <c r="AL160" s="60"/>
      <c r="AM160" s="60"/>
      <c r="AN160" s="60"/>
      <c r="AO160" s="63"/>
      <c r="AP160" s="62">
        <v>850000000</v>
      </c>
      <c r="AQ160" s="60"/>
      <c r="AR160" s="60"/>
      <c r="AS160" s="60"/>
      <c r="AT160" s="60"/>
      <c r="AU160" s="60"/>
      <c r="AV160" s="64"/>
      <c r="AW160" s="55">
        <f t="shared" si="12"/>
        <v>350000000</v>
      </c>
      <c r="AX160" s="55">
        <f t="shared" si="13"/>
        <v>1000000000</v>
      </c>
      <c r="AY160" s="55">
        <f t="shared" si="14"/>
        <v>800000000</v>
      </c>
      <c r="AZ160" s="55">
        <f t="shared" si="15"/>
        <v>850000000</v>
      </c>
      <c r="BA160" s="55">
        <f t="shared" si="16"/>
        <v>3000000000</v>
      </c>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row>
    <row r="161" spans="1:133" s="3" customFormat="1" ht="267.75" x14ac:dyDescent="0.25">
      <c r="A161" s="148" t="s">
        <v>28</v>
      </c>
      <c r="B161" s="56" t="s">
        <v>361</v>
      </c>
      <c r="C161" s="56" t="s">
        <v>362</v>
      </c>
      <c r="D161" s="56" t="s">
        <v>363</v>
      </c>
      <c r="E161" s="56" t="s">
        <v>364</v>
      </c>
      <c r="F161" s="56" t="s">
        <v>365</v>
      </c>
      <c r="G161" s="56" t="s">
        <v>373</v>
      </c>
      <c r="H161" s="56" t="s">
        <v>1297</v>
      </c>
      <c r="I161" s="108" t="s">
        <v>376</v>
      </c>
      <c r="J161" s="108" t="s">
        <v>1682</v>
      </c>
      <c r="K161" s="178">
        <v>100</v>
      </c>
      <c r="L161" s="179">
        <v>100</v>
      </c>
      <c r="M161" s="108" t="s">
        <v>368</v>
      </c>
      <c r="N161" s="108" t="s">
        <v>369</v>
      </c>
      <c r="O161" s="54" t="s">
        <v>360</v>
      </c>
      <c r="P161" s="67" t="s">
        <v>42</v>
      </c>
      <c r="Q161" s="54" t="s">
        <v>1679</v>
      </c>
      <c r="R161" s="182">
        <v>100</v>
      </c>
      <c r="S161" s="178">
        <v>100</v>
      </c>
      <c r="T161" s="178">
        <v>100</v>
      </c>
      <c r="U161" s="183">
        <v>100</v>
      </c>
      <c r="V161" s="59">
        <v>80000000</v>
      </c>
      <c r="W161" s="60"/>
      <c r="X161" s="60"/>
      <c r="Y161" s="60"/>
      <c r="Z161" s="60"/>
      <c r="AA161" s="61"/>
      <c r="AB161" s="62">
        <v>80000000</v>
      </c>
      <c r="AC161" s="60"/>
      <c r="AD161" s="60"/>
      <c r="AE161" s="60"/>
      <c r="AF161" s="60"/>
      <c r="AG161" s="60"/>
      <c r="AH161" s="63"/>
      <c r="AI161" s="62">
        <v>80000000</v>
      </c>
      <c r="AJ161" s="60"/>
      <c r="AK161" s="60"/>
      <c r="AL161" s="60"/>
      <c r="AM161" s="60"/>
      <c r="AN161" s="60"/>
      <c r="AO161" s="63"/>
      <c r="AP161" s="62">
        <v>80000000</v>
      </c>
      <c r="AQ161" s="60"/>
      <c r="AR161" s="60"/>
      <c r="AS161" s="60"/>
      <c r="AT161" s="60"/>
      <c r="AU161" s="60"/>
      <c r="AV161" s="64"/>
      <c r="AW161" s="55">
        <f t="shared" si="12"/>
        <v>80000000</v>
      </c>
      <c r="AX161" s="55">
        <f t="shared" si="13"/>
        <v>80000000</v>
      </c>
      <c r="AY161" s="55">
        <f t="shared" si="14"/>
        <v>80000000</v>
      </c>
      <c r="AZ161" s="55">
        <f t="shared" si="15"/>
        <v>80000000</v>
      </c>
      <c r="BA161" s="55">
        <f t="shared" si="16"/>
        <v>320000000</v>
      </c>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row>
    <row r="162" spans="1:133" s="15" customFormat="1" ht="267.75" x14ac:dyDescent="0.25">
      <c r="A162" s="148" t="s">
        <v>28</v>
      </c>
      <c r="B162" s="56" t="s">
        <v>361</v>
      </c>
      <c r="C162" s="56" t="s">
        <v>362</v>
      </c>
      <c r="D162" s="56" t="s">
        <v>363</v>
      </c>
      <c r="E162" s="56" t="s">
        <v>364</v>
      </c>
      <c r="F162" s="56" t="s">
        <v>365</v>
      </c>
      <c r="G162" s="56" t="s">
        <v>373</v>
      </c>
      <c r="H162" s="56" t="s">
        <v>1298</v>
      </c>
      <c r="I162" s="108" t="s">
        <v>377</v>
      </c>
      <c r="J162" s="108" t="s">
        <v>1682</v>
      </c>
      <c r="K162" s="178">
        <v>0</v>
      </c>
      <c r="L162" s="179">
        <v>100</v>
      </c>
      <c r="M162" s="108" t="s">
        <v>368</v>
      </c>
      <c r="N162" s="108" t="s">
        <v>369</v>
      </c>
      <c r="O162" s="54" t="s">
        <v>360</v>
      </c>
      <c r="P162" s="91" t="s">
        <v>39</v>
      </c>
      <c r="Q162" s="173" t="s">
        <v>1680</v>
      </c>
      <c r="R162" s="182">
        <v>0</v>
      </c>
      <c r="S162" s="178">
        <v>0</v>
      </c>
      <c r="T162" s="178">
        <v>50</v>
      </c>
      <c r="U162" s="183">
        <v>50</v>
      </c>
      <c r="V162" s="59"/>
      <c r="W162" s="60"/>
      <c r="X162" s="60"/>
      <c r="Y162" s="60"/>
      <c r="Z162" s="60"/>
      <c r="AA162" s="61"/>
      <c r="AB162" s="62">
        <v>0</v>
      </c>
      <c r="AC162" s="60"/>
      <c r="AD162" s="60"/>
      <c r="AE162" s="60"/>
      <c r="AF162" s="60"/>
      <c r="AG162" s="60"/>
      <c r="AH162" s="63"/>
      <c r="AI162" s="62">
        <v>1062500000</v>
      </c>
      <c r="AJ162" s="60"/>
      <c r="AK162" s="60"/>
      <c r="AL162" s="60"/>
      <c r="AM162" s="60"/>
      <c r="AN162" s="60"/>
      <c r="AO162" s="63"/>
      <c r="AP162" s="62">
        <v>1062500000</v>
      </c>
      <c r="AQ162" s="60"/>
      <c r="AR162" s="60"/>
      <c r="AS162" s="60"/>
      <c r="AT162" s="60"/>
      <c r="AU162" s="60"/>
      <c r="AV162" s="64"/>
      <c r="AW162" s="55">
        <f t="shared" si="12"/>
        <v>0</v>
      </c>
      <c r="AX162" s="55">
        <f t="shared" si="13"/>
        <v>0</v>
      </c>
      <c r="AY162" s="55">
        <f t="shared" si="14"/>
        <v>1062500000</v>
      </c>
      <c r="AZ162" s="55">
        <f t="shared" si="15"/>
        <v>1062500000</v>
      </c>
      <c r="BA162" s="55">
        <f t="shared" si="16"/>
        <v>2125000000</v>
      </c>
    </row>
    <row r="163" spans="1:133" s="12" customFormat="1" ht="267.75" x14ac:dyDescent="0.25">
      <c r="A163" s="148" t="s">
        <v>28</v>
      </c>
      <c r="B163" s="56" t="s">
        <v>361</v>
      </c>
      <c r="C163" s="56" t="s">
        <v>362</v>
      </c>
      <c r="D163" s="56" t="s">
        <v>363</v>
      </c>
      <c r="E163" s="56" t="s">
        <v>364</v>
      </c>
      <c r="F163" s="56" t="s">
        <v>365</v>
      </c>
      <c r="G163" s="56" t="s">
        <v>373</v>
      </c>
      <c r="H163" s="56" t="s">
        <v>1299</v>
      </c>
      <c r="I163" s="108" t="s">
        <v>378</v>
      </c>
      <c r="J163" s="108" t="s">
        <v>1683</v>
      </c>
      <c r="K163" s="99">
        <v>312</v>
      </c>
      <c r="L163" s="178">
        <v>93</v>
      </c>
      <c r="M163" s="108" t="s">
        <v>368</v>
      </c>
      <c r="N163" s="108" t="s">
        <v>369</v>
      </c>
      <c r="O163" s="54" t="s">
        <v>360</v>
      </c>
      <c r="P163" s="72" t="s">
        <v>39</v>
      </c>
      <c r="Q163" s="167" t="s">
        <v>1680</v>
      </c>
      <c r="R163" s="182">
        <v>10</v>
      </c>
      <c r="S163" s="178">
        <v>20</v>
      </c>
      <c r="T163" s="178">
        <v>30</v>
      </c>
      <c r="U163" s="183">
        <v>33</v>
      </c>
      <c r="V163" s="59">
        <v>900000</v>
      </c>
      <c r="W163" s="60"/>
      <c r="X163" s="60"/>
      <c r="Y163" s="60"/>
      <c r="Z163" s="60"/>
      <c r="AA163" s="61"/>
      <c r="AB163" s="62">
        <v>2000000000</v>
      </c>
      <c r="AC163" s="60"/>
      <c r="AD163" s="60"/>
      <c r="AE163" s="60"/>
      <c r="AF163" s="60"/>
      <c r="AG163" s="60"/>
      <c r="AH163" s="63"/>
      <c r="AI163" s="62">
        <v>2500000000</v>
      </c>
      <c r="AJ163" s="60"/>
      <c r="AK163" s="60"/>
      <c r="AL163" s="60"/>
      <c r="AM163" s="60"/>
      <c r="AN163" s="60"/>
      <c r="AO163" s="63"/>
      <c r="AP163" s="62">
        <v>2600000000</v>
      </c>
      <c r="AQ163" s="60"/>
      <c r="AR163" s="60"/>
      <c r="AS163" s="60"/>
      <c r="AT163" s="60"/>
      <c r="AU163" s="60"/>
      <c r="AV163" s="64"/>
      <c r="AW163" s="55">
        <f t="shared" si="12"/>
        <v>900000</v>
      </c>
      <c r="AX163" s="55">
        <f t="shared" si="13"/>
        <v>2000000000</v>
      </c>
      <c r="AY163" s="55">
        <f t="shared" si="14"/>
        <v>2500000000</v>
      </c>
      <c r="AZ163" s="55">
        <f t="shared" si="15"/>
        <v>2600000000</v>
      </c>
      <c r="BA163" s="55">
        <f t="shared" si="16"/>
        <v>7100900000</v>
      </c>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row>
    <row r="164" spans="1:133" s="12" customFormat="1" ht="267.75" x14ac:dyDescent="0.25">
      <c r="A164" s="148" t="s">
        <v>28</v>
      </c>
      <c r="B164" s="56" t="s">
        <v>361</v>
      </c>
      <c r="C164" s="56" t="s">
        <v>362</v>
      </c>
      <c r="D164" s="56" t="s">
        <v>363</v>
      </c>
      <c r="E164" s="56" t="s">
        <v>364</v>
      </c>
      <c r="F164" s="56" t="s">
        <v>365</v>
      </c>
      <c r="G164" s="56" t="s">
        <v>373</v>
      </c>
      <c r="H164" s="56" t="s">
        <v>1300</v>
      </c>
      <c r="I164" s="92" t="s">
        <v>379</v>
      </c>
      <c r="J164" s="92" t="s">
        <v>1682</v>
      </c>
      <c r="K164" s="178">
        <v>100</v>
      </c>
      <c r="L164" s="179">
        <v>100</v>
      </c>
      <c r="M164" s="108" t="s">
        <v>368</v>
      </c>
      <c r="N164" s="108" t="s">
        <v>369</v>
      </c>
      <c r="O164" s="54" t="s">
        <v>360</v>
      </c>
      <c r="P164" s="67" t="s">
        <v>42</v>
      </c>
      <c r="Q164" s="54" t="s">
        <v>1679</v>
      </c>
      <c r="R164" s="182">
        <v>100</v>
      </c>
      <c r="S164" s="178">
        <v>100</v>
      </c>
      <c r="T164" s="178">
        <v>100</v>
      </c>
      <c r="U164" s="183">
        <v>100</v>
      </c>
      <c r="V164" s="59">
        <v>6400000000</v>
      </c>
      <c r="W164" s="60"/>
      <c r="X164" s="60"/>
      <c r="Y164" s="60"/>
      <c r="Z164" s="60"/>
      <c r="AA164" s="61"/>
      <c r="AB164" s="62">
        <v>5028000000</v>
      </c>
      <c r="AC164" s="60"/>
      <c r="AD164" s="60"/>
      <c r="AE164" s="60"/>
      <c r="AF164" s="60"/>
      <c r="AG164" s="60"/>
      <c r="AH164" s="63"/>
      <c r="AI164" s="62">
        <v>3000000000</v>
      </c>
      <c r="AJ164" s="60"/>
      <c r="AK164" s="60"/>
      <c r="AL164" s="60"/>
      <c r="AM164" s="60"/>
      <c r="AN164" s="60"/>
      <c r="AO164" s="63"/>
      <c r="AP164" s="62">
        <v>4000000000</v>
      </c>
      <c r="AQ164" s="60"/>
      <c r="AR164" s="60"/>
      <c r="AS164" s="60"/>
      <c r="AT164" s="60"/>
      <c r="AU164" s="60"/>
      <c r="AV164" s="64"/>
      <c r="AW164" s="55">
        <f t="shared" si="12"/>
        <v>6400000000</v>
      </c>
      <c r="AX164" s="55">
        <f t="shared" si="13"/>
        <v>5028000000</v>
      </c>
      <c r="AY164" s="55">
        <f t="shared" si="14"/>
        <v>3000000000</v>
      </c>
      <c r="AZ164" s="55">
        <f t="shared" si="15"/>
        <v>4000000000</v>
      </c>
      <c r="BA164" s="55">
        <f t="shared" si="16"/>
        <v>18428000000</v>
      </c>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row>
    <row r="165" spans="1:133" s="6" customFormat="1" ht="94.5" x14ac:dyDescent="0.25">
      <c r="A165" s="148" t="s">
        <v>28</v>
      </c>
      <c r="B165" s="56" t="s">
        <v>361</v>
      </c>
      <c r="C165" s="110" t="s">
        <v>380</v>
      </c>
      <c r="D165" s="110" t="s">
        <v>381</v>
      </c>
      <c r="E165" s="145">
        <v>324.5</v>
      </c>
      <c r="F165" s="145">
        <v>267.5</v>
      </c>
      <c r="G165" s="108" t="s">
        <v>382</v>
      </c>
      <c r="H165" s="108" t="s">
        <v>1301</v>
      </c>
      <c r="I165" s="108" t="s">
        <v>383</v>
      </c>
      <c r="J165" s="108" t="s">
        <v>1682</v>
      </c>
      <c r="K165" s="178">
        <v>0</v>
      </c>
      <c r="L165" s="179">
        <v>100</v>
      </c>
      <c r="M165" s="108" t="s">
        <v>368</v>
      </c>
      <c r="N165" s="108" t="s">
        <v>369</v>
      </c>
      <c r="O165" s="54" t="s">
        <v>360</v>
      </c>
      <c r="P165" s="72" t="s">
        <v>39</v>
      </c>
      <c r="Q165" s="167" t="s">
        <v>1680</v>
      </c>
      <c r="R165" s="182">
        <v>25</v>
      </c>
      <c r="S165" s="178">
        <v>25</v>
      </c>
      <c r="T165" s="178">
        <v>25</v>
      </c>
      <c r="U165" s="183">
        <v>25</v>
      </c>
      <c r="V165" s="59">
        <v>2600000000</v>
      </c>
      <c r="W165" s="60"/>
      <c r="X165" s="60"/>
      <c r="Y165" s="60"/>
      <c r="Z165" s="60"/>
      <c r="AA165" s="61"/>
      <c r="AB165" s="62">
        <v>2800000000</v>
      </c>
      <c r="AC165" s="60"/>
      <c r="AD165" s="60"/>
      <c r="AE165" s="60"/>
      <c r="AF165" s="60"/>
      <c r="AG165" s="60"/>
      <c r="AH165" s="63"/>
      <c r="AI165" s="62">
        <v>1940000000</v>
      </c>
      <c r="AJ165" s="60"/>
      <c r="AK165" s="60"/>
      <c r="AL165" s="60"/>
      <c r="AM165" s="60"/>
      <c r="AN165" s="60"/>
      <c r="AO165" s="63"/>
      <c r="AP165" s="62">
        <v>3087000000</v>
      </c>
      <c r="AQ165" s="60"/>
      <c r="AR165" s="60"/>
      <c r="AS165" s="60"/>
      <c r="AT165" s="60"/>
      <c r="AU165" s="60"/>
      <c r="AV165" s="64"/>
      <c r="AW165" s="55">
        <f t="shared" si="12"/>
        <v>2600000000</v>
      </c>
      <c r="AX165" s="55">
        <f t="shared" si="13"/>
        <v>2800000000</v>
      </c>
      <c r="AY165" s="55">
        <f t="shared" si="14"/>
        <v>1940000000</v>
      </c>
      <c r="AZ165" s="55">
        <f t="shared" si="15"/>
        <v>3087000000</v>
      </c>
      <c r="BA165" s="55">
        <f t="shared" si="16"/>
        <v>10427000000</v>
      </c>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row>
    <row r="166" spans="1:133" s="12" customFormat="1" ht="110.25" x14ac:dyDescent="0.25">
      <c r="A166" s="148" t="s">
        <v>28</v>
      </c>
      <c r="B166" s="56" t="s">
        <v>361</v>
      </c>
      <c r="C166" s="110" t="s">
        <v>380</v>
      </c>
      <c r="D166" s="110" t="s">
        <v>381</v>
      </c>
      <c r="E166" s="145">
        <v>324.5</v>
      </c>
      <c r="F166" s="145">
        <v>267.5</v>
      </c>
      <c r="G166" s="146" t="s">
        <v>384</v>
      </c>
      <c r="H166" s="146" t="s">
        <v>1302</v>
      </c>
      <c r="I166" s="108" t="s">
        <v>385</v>
      </c>
      <c r="J166" s="108" t="s">
        <v>1683</v>
      </c>
      <c r="K166" s="79">
        <v>3</v>
      </c>
      <c r="L166" s="178">
        <v>4</v>
      </c>
      <c r="M166" s="108" t="s">
        <v>368</v>
      </c>
      <c r="N166" s="108" t="s">
        <v>369</v>
      </c>
      <c r="O166" s="54" t="s">
        <v>360</v>
      </c>
      <c r="P166" s="81" t="s">
        <v>42</v>
      </c>
      <c r="Q166" s="54" t="s">
        <v>1679</v>
      </c>
      <c r="R166" s="182">
        <v>4</v>
      </c>
      <c r="S166" s="178">
        <v>4</v>
      </c>
      <c r="T166" s="178">
        <v>4</v>
      </c>
      <c r="U166" s="183">
        <v>4</v>
      </c>
      <c r="V166" s="59">
        <v>4400000000</v>
      </c>
      <c r="W166" s="60"/>
      <c r="X166" s="60"/>
      <c r="Y166" s="60"/>
      <c r="Z166" s="60"/>
      <c r="AA166" s="61"/>
      <c r="AB166" s="62">
        <v>2250000000</v>
      </c>
      <c r="AC166" s="60"/>
      <c r="AD166" s="60"/>
      <c r="AE166" s="60"/>
      <c r="AF166" s="60"/>
      <c r="AG166" s="60"/>
      <c r="AH166" s="63"/>
      <c r="AI166" s="62">
        <v>1725000000</v>
      </c>
      <c r="AJ166" s="60"/>
      <c r="AK166" s="60"/>
      <c r="AL166" s="60"/>
      <c r="AM166" s="60"/>
      <c r="AN166" s="60"/>
      <c r="AO166" s="63"/>
      <c r="AP166" s="62">
        <v>4961250000</v>
      </c>
      <c r="AQ166" s="60"/>
      <c r="AR166" s="60"/>
      <c r="AS166" s="60"/>
      <c r="AT166" s="60"/>
      <c r="AU166" s="60"/>
      <c r="AV166" s="64"/>
      <c r="AW166" s="55">
        <f t="shared" si="12"/>
        <v>4400000000</v>
      </c>
      <c r="AX166" s="55">
        <f t="shared" si="13"/>
        <v>2250000000</v>
      </c>
      <c r="AY166" s="55">
        <f t="shared" si="14"/>
        <v>1725000000</v>
      </c>
      <c r="AZ166" s="55">
        <f t="shared" si="15"/>
        <v>4961250000</v>
      </c>
      <c r="BA166" s="55">
        <f t="shared" si="16"/>
        <v>13336250000</v>
      </c>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row>
    <row r="167" spans="1:133" s="16" customFormat="1" ht="126" x14ac:dyDescent="0.25">
      <c r="A167" s="148" t="s">
        <v>28</v>
      </c>
      <c r="B167" s="56" t="s">
        <v>361</v>
      </c>
      <c r="C167" s="110" t="s">
        <v>380</v>
      </c>
      <c r="D167" s="110" t="s">
        <v>381</v>
      </c>
      <c r="E167" s="145">
        <v>324.5</v>
      </c>
      <c r="F167" s="145">
        <v>267.5</v>
      </c>
      <c r="G167" s="146" t="s">
        <v>384</v>
      </c>
      <c r="H167" s="146" t="s">
        <v>1303</v>
      </c>
      <c r="I167" s="108" t="s">
        <v>386</v>
      </c>
      <c r="J167" s="108" t="s">
        <v>1683</v>
      </c>
      <c r="K167" s="99" t="s">
        <v>90</v>
      </c>
      <c r="L167" s="178">
        <v>1</v>
      </c>
      <c r="M167" s="108" t="s">
        <v>368</v>
      </c>
      <c r="N167" s="108" t="s">
        <v>369</v>
      </c>
      <c r="O167" s="54" t="s">
        <v>360</v>
      </c>
      <c r="P167" s="72" t="s">
        <v>39</v>
      </c>
      <c r="Q167" s="167" t="s">
        <v>1680</v>
      </c>
      <c r="R167" s="182">
        <v>0</v>
      </c>
      <c r="S167" s="178">
        <v>1</v>
      </c>
      <c r="T167" s="178">
        <v>0</v>
      </c>
      <c r="U167" s="183">
        <v>0</v>
      </c>
      <c r="V167" s="59"/>
      <c r="W167" s="60"/>
      <c r="X167" s="60"/>
      <c r="Y167" s="60"/>
      <c r="Z167" s="60"/>
      <c r="AA167" s="61"/>
      <c r="AB167" s="62">
        <v>2250000000</v>
      </c>
      <c r="AC167" s="60"/>
      <c r="AD167" s="60"/>
      <c r="AE167" s="60"/>
      <c r="AF167" s="60"/>
      <c r="AG167" s="60"/>
      <c r="AH167" s="63"/>
      <c r="AI167" s="62"/>
      <c r="AJ167" s="60"/>
      <c r="AK167" s="60"/>
      <c r="AL167" s="60"/>
      <c r="AM167" s="60"/>
      <c r="AN167" s="60"/>
      <c r="AO167" s="63"/>
      <c r="AP167" s="62"/>
      <c r="AQ167" s="60"/>
      <c r="AR167" s="60"/>
      <c r="AS167" s="60"/>
      <c r="AT167" s="60"/>
      <c r="AU167" s="60"/>
      <c r="AV167" s="64"/>
      <c r="AW167" s="55">
        <f t="shared" si="12"/>
        <v>0</v>
      </c>
      <c r="AX167" s="55">
        <f t="shared" si="13"/>
        <v>2250000000</v>
      </c>
      <c r="AY167" s="55">
        <f t="shared" si="14"/>
        <v>0</v>
      </c>
      <c r="AZ167" s="55">
        <f t="shared" si="15"/>
        <v>0</v>
      </c>
      <c r="BA167" s="55">
        <f t="shared" si="16"/>
        <v>2250000000</v>
      </c>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row>
    <row r="168" spans="1:133" s="12" customFormat="1" ht="94.5" x14ac:dyDescent="0.25">
      <c r="A168" s="148" t="s">
        <v>28</v>
      </c>
      <c r="B168" s="56" t="s">
        <v>361</v>
      </c>
      <c r="C168" s="110" t="s">
        <v>380</v>
      </c>
      <c r="D168" s="110" t="s">
        <v>381</v>
      </c>
      <c r="E168" s="145">
        <v>324.5</v>
      </c>
      <c r="F168" s="145">
        <v>267.5</v>
      </c>
      <c r="G168" s="56" t="s">
        <v>387</v>
      </c>
      <c r="H168" s="56" t="s">
        <v>1304</v>
      </c>
      <c r="I168" s="108" t="s">
        <v>388</v>
      </c>
      <c r="J168" s="108" t="s">
        <v>1683</v>
      </c>
      <c r="K168" s="99">
        <v>2</v>
      </c>
      <c r="L168" s="178">
        <v>3</v>
      </c>
      <c r="M168" s="108" t="s">
        <v>368</v>
      </c>
      <c r="N168" s="108" t="s">
        <v>369</v>
      </c>
      <c r="O168" s="54" t="s">
        <v>360</v>
      </c>
      <c r="P168" s="74" t="s">
        <v>254</v>
      </c>
      <c r="Q168" s="54" t="s">
        <v>1679</v>
      </c>
      <c r="R168" s="182">
        <v>3</v>
      </c>
      <c r="S168" s="178">
        <v>3</v>
      </c>
      <c r="T168" s="178">
        <v>3</v>
      </c>
      <c r="U168" s="183">
        <v>3</v>
      </c>
      <c r="V168" s="59">
        <f>4400000000/2</f>
        <v>2200000000</v>
      </c>
      <c r="W168" s="60"/>
      <c r="X168" s="60"/>
      <c r="Y168" s="60"/>
      <c r="Z168" s="60"/>
      <c r="AA168" s="61"/>
      <c r="AB168" s="62">
        <v>1920000</v>
      </c>
      <c r="AC168" s="60"/>
      <c r="AD168" s="60"/>
      <c r="AE168" s="60"/>
      <c r="AF168" s="60"/>
      <c r="AG168" s="60"/>
      <c r="AH168" s="63"/>
      <c r="AI168" s="62">
        <v>1935000</v>
      </c>
      <c r="AJ168" s="60"/>
      <c r="AK168" s="60"/>
      <c r="AL168" s="60"/>
      <c r="AM168" s="60"/>
      <c r="AN168" s="60"/>
      <c r="AO168" s="63"/>
      <c r="AP168" s="62">
        <v>2031750</v>
      </c>
      <c r="AQ168" s="60"/>
      <c r="AR168" s="60"/>
      <c r="AS168" s="60"/>
      <c r="AT168" s="60"/>
      <c r="AU168" s="60"/>
      <c r="AV168" s="64"/>
      <c r="AW168" s="55">
        <f t="shared" si="12"/>
        <v>2200000000</v>
      </c>
      <c r="AX168" s="55">
        <f t="shared" si="13"/>
        <v>1920000</v>
      </c>
      <c r="AY168" s="55">
        <f t="shared" si="14"/>
        <v>1935000</v>
      </c>
      <c r="AZ168" s="55">
        <f t="shared" si="15"/>
        <v>2031750</v>
      </c>
      <c r="BA168" s="55">
        <f t="shared" si="16"/>
        <v>2205886750</v>
      </c>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row>
    <row r="169" spans="1:133" s="16" customFormat="1" ht="126" x14ac:dyDescent="0.25">
      <c r="A169" s="148" t="s">
        <v>28</v>
      </c>
      <c r="B169" s="56" t="s">
        <v>361</v>
      </c>
      <c r="C169" s="110" t="s">
        <v>380</v>
      </c>
      <c r="D169" s="110" t="s">
        <v>381</v>
      </c>
      <c r="E169" s="145">
        <v>324.5</v>
      </c>
      <c r="F169" s="145">
        <v>267.5</v>
      </c>
      <c r="G169" s="56" t="s">
        <v>387</v>
      </c>
      <c r="H169" s="56" t="s">
        <v>1305</v>
      </c>
      <c r="I169" s="108" t="s">
        <v>389</v>
      </c>
      <c r="J169" s="108" t="s">
        <v>1683</v>
      </c>
      <c r="K169" s="99">
        <v>0</v>
      </c>
      <c r="L169" s="178">
        <v>2</v>
      </c>
      <c r="M169" s="108" t="s">
        <v>368</v>
      </c>
      <c r="N169" s="108" t="s">
        <v>369</v>
      </c>
      <c r="O169" s="54" t="s">
        <v>360</v>
      </c>
      <c r="P169" s="74" t="s">
        <v>42</v>
      </c>
      <c r="Q169" s="54" t="s">
        <v>1679</v>
      </c>
      <c r="R169" s="182">
        <v>2</v>
      </c>
      <c r="S169" s="178">
        <v>2</v>
      </c>
      <c r="T169" s="178">
        <v>2</v>
      </c>
      <c r="U169" s="183">
        <v>2</v>
      </c>
      <c r="V169" s="59">
        <f>4400000000/2</f>
        <v>2200000000</v>
      </c>
      <c r="W169" s="60"/>
      <c r="X169" s="60"/>
      <c r="Y169" s="60"/>
      <c r="Z169" s="60"/>
      <c r="AA169" s="61"/>
      <c r="AB169" s="62">
        <v>1280000</v>
      </c>
      <c r="AC169" s="60"/>
      <c r="AD169" s="60"/>
      <c r="AE169" s="60"/>
      <c r="AF169" s="60"/>
      <c r="AG169" s="60"/>
      <c r="AH169" s="63"/>
      <c r="AI169" s="62">
        <v>1290000</v>
      </c>
      <c r="AJ169" s="60"/>
      <c r="AK169" s="60"/>
      <c r="AL169" s="60"/>
      <c r="AM169" s="60"/>
      <c r="AN169" s="60"/>
      <c r="AO169" s="63"/>
      <c r="AP169" s="62">
        <v>1354500</v>
      </c>
      <c r="AQ169" s="60"/>
      <c r="AR169" s="60"/>
      <c r="AS169" s="60"/>
      <c r="AT169" s="60"/>
      <c r="AU169" s="60"/>
      <c r="AV169" s="64"/>
      <c r="AW169" s="55">
        <f t="shared" si="12"/>
        <v>2200000000</v>
      </c>
      <c r="AX169" s="55">
        <f t="shared" si="13"/>
        <v>1280000</v>
      </c>
      <c r="AY169" s="55">
        <f t="shared" si="14"/>
        <v>1290000</v>
      </c>
      <c r="AZ169" s="55">
        <f t="shared" si="15"/>
        <v>1354500</v>
      </c>
      <c r="BA169" s="55">
        <f t="shared" si="16"/>
        <v>2203924500</v>
      </c>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row>
    <row r="170" spans="1:133" s="12" customFormat="1" ht="94.5" x14ac:dyDescent="0.25">
      <c r="A170" s="148" t="s">
        <v>28</v>
      </c>
      <c r="B170" s="56" t="s">
        <v>361</v>
      </c>
      <c r="C170" s="110" t="s">
        <v>380</v>
      </c>
      <c r="D170" s="110" t="s">
        <v>381</v>
      </c>
      <c r="E170" s="145">
        <v>324.5</v>
      </c>
      <c r="F170" s="145">
        <v>267.5</v>
      </c>
      <c r="G170" s="56" t="s">
        <v>387</v>
      </c>
      <c r="H170" s="56" t="s">
        <v>1306</v>
      </c>
      <c r="I170" s="108" t="s">
        <v>390</v>
      </c>
      <c r="J170" s="108" t="s">
        <v>1682</v>
      </c>
      <c r="K170" s="178">
        <v>0</v>
      </c>
      <c r="L170" s="179">
        <v>100</v>
      </c>
      <c r="M170" s="108" t="s">
        <v>368</v>
      </c>
      <c r="N170" s="108" t="s">
        <v>369</v>
      </c>
      <c r="O170" s="54" t="s">
        <v>360</v>
      </c>
      <c r="P170" s="72" t="s">
        <v>39</v>
      </c>
      <c r="Q170" s="167" t="s">
        <v>1680</v>
      </c>
      <c r="R170" s="182">
        <v>0</v>
      </c>
      <c r="S170" s="178">
        <v>30</v>
      </c>
      <c r="T170" s="178">
        <v>30</v>
      </c>
      <c r="U170" s="183">
        <v>40</v>
      </c>
      <c r="V170" s="59"/>
      <c r="W170" s="60"/>
      <c r="X170" s="60"/>
      <c r="Y170" s="60"/>
      <c r="Z170" s="60"/>
      <c r="AA170" s="61"/>
      <c r="AB170" s="62">
        <v>1300000000</v>
      </c>
      <c r="AC170" s="60"/>
      <c r="AD170" s="60"/>
      <c r="AE170" s="60"/>
      <c r="AF170" s="60"/>
      <c r="AG170" s="60"/>
      <c r="AH170" s="63"/>
      <c r="AI170" s="62">
        <v>1500000000</v>
      </c>
      <c r="AJ170" s="60"/>
      <c r="AK170" s="60"/>
      <c r="AL170" s="60"/>
      <c r="AM170" s="60"/>
      <c r="AN170" s="60"/>
      <c r="AO170" s="63"/>
      <c r="AP170" s="62">
        <v>1575000</v>
      </c>
      <c r="AQ170" s="60"/>
      <c r="AR170" s="60"/>
      <c r="AS170" s="60"/>
      <c r="AT170" s="60"/>
      <c r="AU170" s="60"/>
      <c r="AV170" s="64"/>
      <c r="AW170" s="55">
        <f t="shared" si="12"/>
        <v>0</v>
      </c>
      <c r="AX170" s="55">
        <f t="shared" si="13"/>
        <v>1300000000</v>
      </c>
      <c r="AY170" s="55">
        <f t="shared" si="14"/>
        <v>1500000000</v>
      </c>
      <c r="AZ170" s="55">
        <f t="shared" si="15"/>
        <v>1575000</v>
      </c>
      <c r="BA170" s="55">
        <f t="shared" si="16"/>
        <v>2801575000</v>
      </c>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row>
    <row r="171" spans="1:133" s="16" customFormat="1" ht="94.5" x14ac:dyDescent="0.25">
      <c r="A171" s="148" t="s">
        <v>28</v>
      </c>
      <c r="B171" s="56" t="s">
        <v>361</v>
      </c>
      <c r="C171" s="110" t="s">
        <v>380</v>
      </c>
      <c r="D171" s="110" t="s">
        <v>381</v>
      </c>
      <c r="E171" s="145">
        <v>324.5</v>
      </c>
      <c r="F171" s="145">
        <v>267.5</v>
      </c>
      <c r="G171" s="103" t="s">
        <v>391</v>
      </c>
      <c r="H171" s="103" t="s">
        <v>1307</v>
      </c>
      <c r="I171" s="108" t="s">
        <v>392</v>
      </c>
      <c r="J171" s="108" t="s">
        <v>1683</v>
      </c>
      <c r="K171" s="99">
        <v>1</v>
      </c>
      <c r="L171" s="178">
        <v>1</v>
      </c>
      <c r="M171" s="108" t="s">
        <v>368</v>
      </c>
      <c r="N171" s="108" t="s">
        <v>369</v>
      </c>
      <c r="O171" s="54" t="s">
        <v>360</v>
      </c>
      <c r="P171" s="67" t="s">
        <v>42</v>
      </c>
      <c r="Q171" s="54" t="s">
        <v>1679</v>
      </c>
      <c r="R171" s="182">
        <v>1</v>
      </c>
      <c r="S171" s="178">
        <v>1</v>
      </c>
      <c r="T171" s="178">
        <v>1</v>
      </c>
      <c r="U171" s="183">
        <v>1</v>
      </c>
      <c r="V171" s="59">
        <v>1300000000</v>
      </c>
      <c r="W171" s="60"/>
      <c r="X171" s="60"/>
      <c r="Y171" s="60"/>
      <c r="Z171" s="60"/>
      <c r="AA171" s="61"/>
      <c r="AB171" s="62">
        <v>1500000000</v>
      </c>
      <c r="AC171" s="60"/>
      <c r="AD171" s="60"/>
      <c r="AE171" s="60"/>
      <c r="AF171" s="60"/>
      <c r="AG171" s="60"/>
      <c r="AH171" s="63"/>
      <c r="AI171" s="62">
        <v>1575000000</v>
      </c>
      <c r="AJ171" s="60"/>
      <c r="AK171" s="60"/>
      <c r="AL171" s="60"/>
      <c r="AM171" s="60"/>
      <c r="AN171" s="60"/>
      <c r="AO171" s="63"/>
      <c r="AP171" s="62">
        <v>1653750000</v>
      </c>
      <c r="AQ171" s="60"/>
      <c r="AR171" s="60"/>
      <c r="AS171" s="60"/>
      <c r="AT171" s="60"/>
      <c r="AU171" s="60"/>
      <c r="AV171" s="64"/>
      <c r="AW171" s="55">
        <f t="shared" si="12"/>
        <v>1300000000</v>
      </c>
      <c r="AX171" s="55">
        <f t="shared" si="13"/>
        <v>1500000000</v>
      </c>
      <c r="AY171" s="55">
        <f t="shared" si="14"/>
        <v>1575000000</v>
      </c>
      <c r="AZ171" s="55">
        <f t="shared" si="15"/>
        <v>1653750000</v>
      </c>
      <c r="BA171" s="55">
        <f t="shared" si="16"/>
        <v>6028750000</v>
      </c>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row>
    <row r="172" spans="1:133" s="28" customFormat="1" ht="141.75" x14ac:dyDescent="0.25">
      <c r="A172" s="148" t="s">
        <v>28</v>
      </c>
      <c r="B172" s="56" t="s">
        <v>361</v>
      </c>
      <c r="C172" s="56" t="s">
        <v>393</v>
      </c>
      <c r="D172" s="56" t="s">
        <v>381</v>
      </c>
      <c r="E172" s="145">
        <v>324.5</v>
      </c>
      <c r="F172" s="145">
        <v>267.5</v>
      </c>
      <c r="G172" s="56" t="s">
        <v>394</v>
      </c>
      <c r="H172" s="56" t="s">
        <v>1308</v>
      </c>
      <c r="I172" s="108" t="s">
        <v>395</v>
      </c>
      <c r="J172" s="108" t="s">
        <v>1683</v>
      </c>
      <c r="K172" s="99">
        <v>12</v>
      </c>
      <c r="L172" s="178">
        <v>96</v>
      </c>
      <c r="M172" s="108" t="s">
        <v>368</v>
      </c>
      <c r="N172" s="108" t="s">
        <v>369</v>
      </c>
      <c r="O172" s="54" t="s">
        <v>360</v>
      </c>
      <c r="P172" s="81" t="s">
        <v>39</v>
      </c>
      <c r="Q172" s="174" t="s">
        <v>1680</v>
      </c>
      <c r="R172" s="182">
        <v>24</v>
      </c>
      <c r="S172" s="178">
        <v>24</v>
      </c>
      <c r="T172" s="178">
        <v>24</v>
      </c>
      <c r="U172" s="183">
        <v>24</v>
      </c>
      <c r="V172" s="59">
        <v>103500000</v>
      </c>
      <c r="W172" s="60"/>
      <c r="X172" s="60"/>
      <c r="Y172" s="60"/>
      <c r="Z172" s="60"/>
      <c r="AA172" s="61"/>
      <c r="AB172" s="62">
        <v>103500000</v>
      </c>
      <c r="AC172" s="60"/>
      <c r="AD172" s="60"/>
      <c r="AE172" s="60"/>
      <c r="AF172" s="60"/>
      <c r="AG172" s="60"/>
      <c r="AH172" s="63"/>
      <c r="AI172" s="62">
        <v>106500000</v>
      </c>
      <c r="AJ172" s="60"/>
      <c r="AK172" s="60"/>
      <c r="AL172" s="60"/>
      <c r="AM172" s="60"/>
      <c r="AN172" s="60"/>
      <c r="AO172" s="63"/>
      <c r="AP172" s="62">
        <v>106500000</v>
      </c>
      <c r="AQ172" s="60"/>
      <c r="AR172" s="60"/>
      <c r="AS172" s="60"/>
      <c r="AT172" s="60"/>
      <c r="AU172" s="60"/>
      <c r="AV172" s="64"/>
      <c r="AW172" s="55">
        <f t="shared" si="12"/>
        <v>103500000</v>
      </c>
      <c r="AX172" s="55">
        <f t="shared" si="13"/>
        <v>103500000</v>
      </c>
      <c r="AY172" s="55">
        <f t="shared" si="14"/>
        <v>106500000</v>
      </c>
      <c r="AZ172" s="55">
        <f t="shared" si="15"/>
        <v>106500000</v>
      </c>
      <c r="BA172" s="55">
        <f t="shared" si="16"/>
        <v>420000000</v>
      </c>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c r="CV172" s="27"/>
      <c r="CW172" s="27"/>
      <c r="CX172" s="27"/>
      <c r="CY172" s="27"/>
      <c r="CZ172" s="27"/>
      <c r="DA172" s="27"/>
      <c r="DB172" s="27"/>
      <c r="DC172" s="27"/>
      <c r="DD172" s="27"/>
      <c r="DE172" s="27"/>
      <c r="DF172" s="27"/>
      <c r="DG172" s="27"/>
      <c r="DH172" s="27"/>
      <c r="DI172" s="27"/>
      <c r="DJ172" s="27"/>
      <c r="DK172" s="27"/>
      <c r="DL172" s="27"/>
      <c r="DM172" s="27"/>
      <c r="DN172" s="27"/>
      <c r="DO172" s="27"/>
      <c r="DP172" s="27"/>
      <c r="DQ172" s="27"/>
      <c r="DR172" s="27"/>
      <c r="DS172" s="27"/>
      <c r="DT172" s="27"/>
      <c r="DU172" s="27"/>
      <c r="DV172" s="27"/>
      <c r="DW172" s="27"/>
      <c r="DX172" s="27"/>
      <c r="DY172" s="27"/>
      <c r="DZ172" s="27"/>
      <c r="EA172" s="27"/>
      <c r="EB172" s="27"/>
      <c r="EC172" s="27"/>
    </row>
    <row r="173" spans="1:133" s="16" customFormat="1" ht="141.75" x14ac:dyDescent="0.25">
      <c r="A173" s="148" t="s">
        <v>28</v>
      </c>
      <c r="B173" s="56" t="s">
        <v>361</v>
      </c>
      <c r="C173" s="56" t="s">
        <v>393</v>
      </c>
      <c r="D173" s="56" t="s">
        <v>381</v>
      </c>
      <c r="E173" s="145">
        <v>324.5</v>
      </c>
      <c r="F173" s="145">
        <v>267.5</v>
      </c>
      <c r="G173" s="56" t="s">
        <v>394</v>
      </c>
      <c r="H173" s="56" t="s">
        <v>1309</v>
      </c>
      <c r="I173" s="108" t="s">
        <v>396</v>
      </c>
      <c r="J173" s="108" t="s">
        <v>1683</v>
      </c>
      <c r="K173" s="99">
        <v>12</v>
      </c>
      <c r="L173" s="178">
        <v>40</v>
      </c>
      <c r="M173" s="108" t="s">
        <v>368</v>
      </c>
      <c r="N173" s="108" t="s">
        <v>369</v>
      </c>
      <c r="O173" s="54" t="s">
        <v>360</v>
      </c>
      <c r="P173" s="73" t="s">
        <v>39</v>
      </c>
      <c r="Q173" s="176" t="s">
        <v>1680</v>
      </c>
      <c r="R173" s="182">
        <v>10</v>
      </c>
      <c r="S173" s="178">
        <v>10</v>
      </c>
      <c r="T173" s="178">
        <v>10</v>
      </c>
      <c r="U173" s="183">
        <v>10</v>
      </c>
      <c r="V173" s="59">
        <v>70000000</v>
      </c>
      <c r="W173" s="60"/>
      <c r="X173" s="60"/>
      <c r="Y173" s="60"/>
      <c r="Z173" s="60"/>
      <c r="AA173" s="61"/>
      <c r="AB173" s="62">
        <v>70000000</v>
      </c>
      <c r="AC173" s="60"/>
      <c r="AD173" s="60"/>
      <c r="AE173" s="60"/>
      <c r="AF173" s="60"/>
      <c r="AG173" s="60"/>
      <c r="AH173" s="63"/>
      <c r="AI173" s="62">
        <v>72000000</v>
      </c>
      <c r="AJ173" s="60"/>
      <c r="AK173" s="60"/>
      <c r="AL173" s="60"/>
      <c r="AM173" s="60"/>
      <c r="AN173" s="60"/>
      <c r="AO173" s="63"/>
      <c r="AP173" s="62">
        <v>72000000</v>
      </c>
      <c r="AQ173" s="60"/>
      <c r="AR173" s="60"/>
      <c r="AS173" s="60"/>
      <c r="AT173" s="60"/>
      <c r="AU173" s="60"/>
      <c r="AV173" s="64"/>
      <c r="AW173" s="55">
        <f t="shared" si="12"/>
        <v>70000000</v>
      </c>
      <c r="AX173" s="55">
        <f t="shared" si="13"/>
        <v>70000000</v>
      </c>
      <c r="AY173" s="55">
        <f t="shared" si="14"/>
        <v>72000000</v>
      </c>
      <c r="AZ173" s="55">
        <f t="shared" si="15"/>
        <v>72000000</v>
      </c>
      <c r="BA173" s="55">
        <f t="shared" si="16"/>
        <v>284000000</v>
      </c>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row>
    <row r="174" spans="1:133" s="26" customFormat="1" ht="141.75" x14ac:dyDescent="0.25">
      <c r="A174" s="148" t="s">
        <v>28</v>
      </c>
      <c r="B174" s="56" t="s">
        <v>361</v>
      </c>
      <c r="C174" s="56" t="s">
        <v>393</v>
      </c>
      <c r="D174" s="56" t="s">
        <v>381</v>
      </c>
      <c r="E174" s="145">
        <v>324.5</v>
      </c>
      <c r="F174" s="145">
        <v>267.5</v>
      </c>
      <c r="G174" s="56" t="s">
        <v>394</v>
      </c>
      <c r="H174" s="56" t="s">
        <v>1310</v>
      </c>
      <c r="I174" s="108" t="s">
        <v>397</v>
      </c>
      <c r="J174" s="108" t="s">
        <v>1683</v>
      </c>
      <c r="K174" s="99">
        <v>10</v>
      </c>
      <c r="L174" s="178">
        <v>20</v>
      </c>
      <c r="M174" s="108" t="s">
        <v>368</v>
      </c>
      <c r="N174" s="108" t="s">
        <v>369</v>
      </c>
      <c r="O174" s="54" t="s">
        <v>360</v>
      </c>
      <c r="P174" s="73" t="s">
        <v>39</v>
      </c>
      <c r="Q174" s="176" t="s">
        <v>1680</v>
      </c>
      <c r="R174" s="182">
        <v>5</v>
      </c>
      <c r="S174" s="178">
        <v>5</v>
      </c>
      <c r="T174" s="178">
        <v>5</v>
      </c>
      <c r="U174" s="183">
        <v>5</v>
      </c>
      <c r="V174" s="59">
        <v>30000000</v>
      </c>
      <c r="W174" s="60"/>
      <c r="X174" s="60"/>
      <c r="Y174" s="60"/>
      <c r="Z174" s="60"/>
      <c r="AA174" s="61"/>
      <c r="AB174" s="62">
        <v>30000000</v>
      </c>
      <c r="AC174" s="60"/>
      <c r="AD174" s="60"/>
      <c r="AE174" s="60"/>
      <c r="AF174" s="60"/>
      <c r="AG174" s="60"/>
      <c r="AH174" s="63"/>
      <c r="AI174" s="62">
        <v>31000000</v>
      </c>
      <c r="AJ174" s="60"/>
      <c r="AK174" s="60"/>
      <c r="AL174" s="60"/>
      <c r="AM174" s="60"/>
      <c r="AN174" s="60"/>
      <c r="AO174" s="63"/>
      <c r="AP174" s="62">
        <v>31000000</v>
      </c>
      <c r="AQ174" s="60"/>
      <c r="AR174" s="60"/>
      <c r="AS174" s="60"/>
      <c r="AT174" s="60"/>
      <c r="AU174" s="60"/>
      <c r="AV174" s="64"/>
      <c r="AW174" s="55">
        <f t="shared" si="12"/>
        <v>30000000</v>
      </c>
      <c r="AX174" s="55">
        <f t="shared" si="13"/>
        <v>30000000</v>
      </c>
      <c r="AY174" s="55">
        <f t="shared" si="14"/>
        <v>31000000</v>
      </c>
      <c r="AZ174" s="55">
        <f t="shared" si="15"/>
        <v>31000000</v>
      </c>
      <c r="BA174" s="55">
        <f t="shared" si="16"/>
        <v>122000000</v>
      </c>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row>
    <row r="175" spans="1:133" s="18" customFormat="1" ht="189" x14ac:dyDescent="0.25">
      <c r="A175" s="148" t="s">
        <v>28</v>
      </c>
      <c r="B175" s="56" t="s">
        <v>361</v>
      </c>
      <c r="C175" s="56" t="s">
        <v>393</v>
      </c>
      <c r="D175" s="56" t="s">
        <v>381</v>
      </c>
      <c r="E175" s="145">
        <v>324.5</v>
      </c>
      <c r="F175" s="145">
        <v>267.5</v>
      </c>
      <c r="G175" s="56" t="s">
        <v>394</v>
      </c>
      <c r="H175" s="56" t="s">
        <v>1311</v>
      </c>
      <c r="I175" s="108" t="s">
        <v>398</v>
      </c>
      <c r="J175" s="108" t="s">
        <v>1683</v>
      </c>
      <c r="K175" s="99">
        <v>2</v>
      </c>
      <c r="L175" s="178">
        <v>4</v>
      </c>
      <c r="M175" s="108" t="s">
        <v>368</v>
      </c>
      <c r="N175" s="108" t="s">
        <v>369</v>
      </c>
      <c r="O175" s="54" t="s">
        <v>360</v>
      </c>
      <c r="P175" s="73" t="s">
        <v>39</v>
      </c>
      <c r="Q175" s="176" t="s">
        <v>1680</v>
      </c>
      <c r="R175" s="182">
        <v>1</v>
      </c>
      <c r="S175" s="178">
        <v>1</v>
      </c>
      <c r="T175" s="178">
        <v>1</v>
      </c>
      <c r="U175" s="183">
        <v>1</v>
      </c>
      <c r="V175" s="59">
        <v>896500000</v>
      </c>
      <c r="W175" s="60"/>
      <c r="X175" s="60"/>
      <c r="Y175" s="60"/>
      <c r="Z175" s="60"/>
      <c r="AA175" s="61"/>
      <c r="AB175" s="62">
        <v>890000000</v>
      </c>
      <c r="AC175" s="60"/>
      <c r="AD175" s="60"/>
      <c r="AE175" s="60"/>
      <c r="AF175" s="60"/>
      <c r="AG175" s="60"/>
      <c r="AH175" s="63"/>
      <c r="AI175" s="62">
        <v>966500000</v>
      </c>
      <c r="AJ175" s="60"/>
      <c r="AK175" s="60"/>
      <c r="AL175" s="60"/>
      <c r="AM175" s="60"/>
      <c r="AN175" s="60"/>
      <c r="AO175" s="63"/>
      <c r="AP175" s="62">
        <v>966500000</v>
      </c>
      <c r="AQ175" s="60"/>
      <c r="AR175" s="60"/>
      <c r="AS175" s="60"/>
      <c r="AT175" s="60"/>
      <c r="AU175" s="60"/>
      <c r="AV175" s="64"/>
      <c r="AW175" s="55">
        <f t="shared" si="12"/>
        <v>896500000</v>
      </c>
      <c r="AX175" s="55">
        <f t="shared" si="13"/>
        <v>890000000</v>
      </c>
      <c r="AY175" s="55">
        <f t="shared" si="14"/>
        <v>966500000</v>
      </c>
      <c r="AZ175" s="55">
        <f t="shared" si="15"/>
        <v>966500000</v>
      </c>
      <c r="BA175" s="55">
        <f t="shared" si="16"/>
        <v>3719500000</v>
      </c>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row>
    <row r="176" spans="1:133" s="18" customFormat="1" ht="141.75" x14ac:dyDescent="0.25">
      <c r="A176" s="148" t="s">
        <v>28</v>
      </c>
      <c r="B176" s="56" t="s">
        <v>361</v>
      </c>
      <c r="C176" s="56" t="s">
        <v>393</v>
      </c>
      <c r="D176" s="56" t="s">
        <v>381</v>
      </c>
      <c r="E176" s="145">
        <v>324.5</v>
      </c>
      <c r="F176" s="145">
        <v>267.5</v>
      </c>
      <c r="G176" s="56" t="s">
        <v>394</v>
      </c>
      <c r="H176" s="56" t="s">
        <v>1312</v>
      </c>
      <c r="I176" s="108" t="s">
        <v>399</v>
      </c>
      <c r="J176" s="108" t="s">
        <v>1683</v>
      </c>
      <c r="K176" s="99">
        <v>1</v>
      </c>
      <c r="L176" s="178">
        <v>2</v>
      </c>
      <c r="M176" s="108" t="s">
        <v>368</v>
      </c>
      <c r="N176" s="108" t="s">
        <v>369</v>
      </c>
      <c r="O176" s="54" t="s">
        <v>360</v>
      </c>
      <c r="P176" s="73" t="s">
        <v>39</v>
      </c>
      <c r="Q176" s="176" t="s">
        <v>1680</v>
      </c>
      <c r="R176" s="182">
        <v>0</v>
      </c>
      <c r="S176" s="178">
        <v>1</v>
      </c>
      <c r="T176" s="178">
        <v>0</v>
      </c>
      <c r="U176" s="183">
        <v>1</v>
      </c>
      <c r="V176" s="59"/>
      <c r="W176" s="60"/>
      <c r="X176" s="60"/>
      <c r="Y176" s="60"/>
      <c r="Z176" s="60"/>
      <c r="AA176" s="61"/>
      <c r="AB176" s="62">
        <v>26500000</v>
      </c>
      <c r="AC176" s="60"/>
      <c r="AD176" s="60"/>
      <c r="AE176" s="60"/>
      <c r="AF176" s="60"/>
      <c r="AG176" s="60"/>
      <c r="AH176" s="63"/>
      <c r="AI176" s="62"/>
      <c r="AJ176" s="60"/>
      <c r="AK176" s="60"/>
      <c r="AL176" s="60"/>
      <c r="AM176" s="60"/>
      <c r="AN176" s="60"/>
      <c r="AO176" s="63"/>
      <c r="AP176" s="62">
        <v>58800000</v>
      </c>
      <c r="AQ176" s="60"/>
      <c r="AR176" s="60"/>
      <c r="AS176" s="60"/>
      <c r="AT176" s="60"/>
      <c r="AU176" s="60"/>
      <c r="AV176" s="64"/>
      <c r="AW176" s="55">
        <f t="shared" si="12"/>
        <v>0</v>
      </c>
      <c r="AX176" s="55">
        <f t="shared" si="13"/>
        <v>26500000</v>
      </c>
      <c r="AY176" s="55">
        <f t="shared" si="14"/>
        <v>0</v>
      </c>
      <c r="AZ176" s="55">
        <f t="shared" si="15"/>
        <v>58800000</v>
      </c>
      <c r="BA176" s="55">
        <f t="shared" si="16"/>
        <v>85300000</v>
      </c>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row>
    <row r="177" spans="1:133" s="18" customFormat="1" ht="141.75" x14ac:dyDescent="0.25">
      <c r="A177" s="148" t="s">
        <v>28</v>
      </c>
      <c r="B177" s="56" t="s">
        <v>361</v>
      </c>
      <c r="C177" s="56" t="s">
        <v>393</v>
      </c>
      <c r="D177" s="56" t="s">
        <v>381</v>
      </c>
      <c r="E177" s="145">
        <v>324.5</v>
      </c>
      <c r="F177" s="145">
        <v>267.5</v>
      </c>
      <c r="G177" s="103" t="s">
        <v>400</v>
      </c>
      <c r="H177" s="103" t="s">
        <v>1313</v>
      </c>
      <c r="I177" s="108" t="s">
        <v>401</v>
      </c>
      <c r="J177" s="108" t="s">
        <v>1683</v>
      </c>
      <c r="K177" s="99">
        <v>40</v>
      </c>
      <c r="L177" s="178">
        <v>40</v>
      </c>
      <c r="M177" s="108" t="s">
        <v>368</v>
      </c>
      <c r="N177" s="108" t="s">
        <v>369</v>
      </c>
      <c r="O177" s="54" t="s">
        <v>360</v>
      </c>
      <c r="P177" s="67" t="s">
        <v>42</v>
      </c>
      <c r="Q177" s="54" t="s">
        <v>1679</v>
      </c>
      <c r="R177" s="182">
        <v>40</v>
      </c>
      <c r="S177" s="178">
        <v>40</v>
      </c>
      <c r="T177" s="178">
        <v>40</v>
      </c>
      <c r="U177" s="183">
        <v>40</v>
      </c>
      <c r="V177" s="59">
        <v>2050000000</v>
      </c>
      <c r="W177" s="60"/>
      <c r="X177" s="60"/>
      <c r="Y177" s="60"/>
      <c r="Z177" s="60"/>
      <c r="AA177" s="61"/>
      <c r="AB177" s="62">
        <v>2050000000</v>
      </c>
      <c r="AC177" s="60"/>
      <c r="AD177" s="60"/>
      <c r="AE177" s="60"/>
      <c r="AF177" s="60"/>
      <c r="AG177" s="60"/>
      <c r="AH177" s="63"/>
      <c r="AI177" s="62">
        <v>2152500000</v>
      </c>
      <c r="AJ177" s="60"/>
      <c r="AK177" s="60"/>
      <c r="AL177" s="60"/>
      <c r="AM177" s="60"/>
      <c r="AN177" s="60"/>
      <c r="AO177" s="63"/>
      <c r="AP177" s="62">
        <v>2260125000</v>
      </c>
      <c r="AQ177" s="60"/>
      <c r="AR177" s="60"/>
      <c r="AS177" s="60"/>
      <c r="AT177" s="60"/>
      <c r="AU177" s="60"/>
      <c r="AV177" s="64"/>
      <c r="AW177" s="55">
        <f t="shared" si="12"/>
        <v>2050000000</v>
      </c>
      <c r="AX177" s="55">
        <f t="shared" si="13"/>
        <v>2050000000</v>
      </c>
      <c r="AY177" s="55">
        <f t="shared" si="14"/>
        <v>2152500000</v>
      </c>
      <c r="AZ177" s="55">
        <f t="shared" si="15"/>
        <v>2260125000</v>
      </c>
      <c r="BA177" s="55">
        <f t="shared" si="16"/>
        <v>8512625000</v>
      </c>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row>
    <row r="178" spans="1:133" s="19" customFormat="1" ht="173.25" x14ac:dyDescent="0.25">
      <c r="A178" s="148" t="s">
        <v>28</v>
      </c>
      <c r="B178" s="56" t="s">
        <v>361</v>
      </c>
      <c r="C178" s="56" t="s">
        <v>393</v>
      </c>
      <c r="D178" s="56" t="s">
        <v>381</v>
      </c>
      <c r="E178" s="145">
        <v>324.5</v>
      </c>
      <c r="F178" s="145">
        <v>267.5</v>
      </c>
      <c r="G178" s="103" t="s">
        <v>402</v>
      </c>
      <c r="H178" s="103" t="s">
        <v>1314</v>
      </c>
      <c r="I178" s="108" t="s">
        <v>403</v>
      </c>
      <c r="J178" s="108" t="s">
        <v>1682</v>
      </c>
      <c r="K178" s="178">
        <v>0</v>
      </c>
      <c r="L178" s="179">
        <v>100</v>
      </c>
      <c r="M178" s="108" t="s">
        <v>368</v>
      </c>
      <c r="N178" s="108" t="s">
        <v>369</v>
      </c>
      <c r="O178" s="54" t="s">
        <v>360</v>
      </c>
      <c r="P178" s="73" t="s">
        <v>39</v>
      </c>
      <c r="Q178" s="176" t="s">
        <v>1680</v>
      </c>
      <c r="R178" s="182">
        <v>10</v>
      </c>
      <c r="S178" s="178">
        <v>20</v>
      </c>
      <c r="T178" s="178">
        <v>30</v>
      </c>
      <c r="U178" s="183">
        <v>40</v>
      </c>
      <c r="V178" s="59">
        <v>2500000000</v>
      </c>
      <c r="W178" s="60"/>
      <c r="X178" s="60"/>
      <c r="Y178" s="60"/>
      <c r="Z178" s="60"/>
      <c r="AA178" s="61"/>
      <c r="AB178" s="62">
        <v>2500000000</v>
      </c>
      <c r="AC178" s="60"/>
      <c r="AD178" s="60"/>
      <c r="AE178" s="60"/>
      <c r="AF178" s="60"/>
      <c r="AG178" s="60"/>
      <c r="AH178" s="63"/>
      <c r="AI178" s="62">
        <v>1625000000</v>
      </c>
      <c r="AJ178" s="60"/>
      <c r="AK178" s="60"/>
      <c r="AL178" s="60"/>
      <c r="AM178" s="60"/>
      <c r="AN178" s="60"/>
      <c r="AO178" s="63"/>
      <c r="AP178" s="62">
        <v>2756250000</v>
      </c>
      <c r="AQ178" s="60"/>
      <c r="AR178" s="60"/>
      <c r="AS178" s="60"/>
      <c r="AT178" s="60"/>
      <c r="AU178" s="60"/>
      <c r="AV178" s="64"/>
      <c r="AW178" s="55">
        <f t="shared" si="12"/>
        <v>2500000000</v>
      </c>
      <c r="AX178" s="55">
        <f t="shared" si="13"/>
        <v>2500000000</v>
      </c>
      <c r="AY178" s="55">
        <f t="shared" si="14"/>
        <v>1625000000</v>
      </c>
      <c r="AZ178" s="55">
        <f t="shared" si="15"/>
        <v>2756250000</v>
      </c>
      <c r="BA178" s="55">
        <f t="shared" si="16"/>
        <v>9381250000</v>
      </c>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row>
    <row r="179" spans="1:133" s="28" customFormat="1" ht="204.75" x14ac:dyDescent="0.25">
      <c r="A179" s="148" t="s">
        <v>28</v>
      </c>
      <c r="B179" s="56" t="s">
        <v>361</v>
      </c>
      <c r="C179" s="56" t="s">
        <v>404</v>
      </c>
      <c r="D179" s="56" t="s">
        <v>405</v>
      </c>
      <c r="E179" s="57">
        <v>1</v>
      </c>
      <c r="F179" s="154">
        <v>1</v>
      </c>
      <c r="G179" s="103" t="s">
        <v>406</v>
      </c>
      <c r="H179" s="103" t="s">
        <v>1315</v>
      </c>
      <c r="I179" s="108" t="s">
        <v>407</v>
      </c>
      <c r="J179" s="108" t="s">
        <v>1682</v>
      </c>
      <c r="K179" s="178">
        <v>100</v>
      </c>
      <c r="L179" s="179">
        <v>100</v>
      </c>
      <c r="M179" s="54" t="s">
        <v>337</v>
      </c>
      <c r="N179" s="100" t="s">
        <v>369</v>
      </c>
      <c r="O179" s="54" t="s">
        <v>408</v>
      </c>
      <c r="P179" s="67" t="s">
        <v>42</v>
      </c>
      <c r="Q179" s="54" t="s">
        <v>1679</v>
      </c>
      <c r="R179" s="182">
        <v>100</v>
      </c>
      <c r="S179" s="178">
        <v>100</v>
      </c>
      <c r="T179" s="178">
        <v>100</v>
      </c>
      <c r="U179" s="183">
        <v>100</v>
      </c>
      <c r="V179" s="59">
        <v>4250416312</v>
      </c>
      <c r="W179" s="60"/>
      <c r="X179" s="60"/>
      <c r="Y179" s="60"/>
      <c r="Z179" s="60"/>
      <c r="AA179" s="61"/>
      <c r="AB179" s="62">
        <v>7000000000</v>
      </c>
      <c r="AC179" s="60"/>
      <c r="AD179" s="60"/>
      <c r="AE179" s="60"/>
      <c r="AF179" s="60"/>
      <c r="AG179" s="60"/>
      <c r="AH179" s="63"/>
      <c r="AI179" s="62">
        <v>2350000000</v>
      </c>
      <c r="AJ179" s="60"/>
      <c r="AK179" s="60"/>
      <c r="AL179" s="60"/>
      <c r="AM179" s="60"/>
      <c r="AN179" s="60"/>
      <c r="AO179" s="63"/>
      <c r="AP179" s="62">
        <v>5718000000</v>
      </c>
      <c r="AQ179" s="60"/>
      <c r="AR179" s="60"/>
      <c r="AS179" s="60"/>
      <c r="AT179" s="60"/>
      <c r="AU179" s="60"/>
      <c r="AV179" s="64"/>
      <c r="AW179" s="55">
        <f t="shared" si="12"/>
        <v>4250416312</v>
      </c>
      <c r="AX179" s="55">
        <f t="shared" si="13"/>
        <v>7000000000</v>
      </c>
      <c r="AY179" s="55">
        <f t="shared" si="14"/>
        <v>2350000000</v>
      </c>
      <c r="AZ179" s="55">
        <f t="shared" si="15"/>
        <v>5718000000</v>
      </c>
      <c r="BA179" s="55">
        <f t="shared" si="16"/>
        <v>19318416312</v>
      </c>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c r="CV179" s="27"/>
      <c r="CW179" s="27"/>
      <c r="CX179" s="27"/>
      <c r="CY179" s="27"/>
      <c r="CZ179" s="27"/>
      <c r="DA179" s="27"/>
      <c r="DB179" s="27"/>
      <c r="DC179" s="27"/>
      <c r="DD179" s="27"/>
      <c r="DE179" s="27"/>
      <c r="DF179" s="27"/>
      <c r="DG179" s="27"/>
      <c r="DH179" s="27"/>
      <c r="DI179" s="27"/>
      <c r="DJ179" s="27"/>
      <c r="DK179" s="27"/>
      <c r="DL179" s="27"/>
      <c r="DM179" s="27"/>
      <c r="DN179" s="27"/>
      <c r="DO179" s="27"/>
      <c r="DP179" s="27"/>
      <c r="DQ179" s="27"/>
      <c r="DR179" s="27"/>
      <c r="DS179" s="27"/>
      <c r="DT179" s="27"/>
      <c r="DU179" s="27"/>
      <c r="DV179" s="27"/>
      <c r="DW179" s="27"/>
      <c r="DX179" s="27"/>
      <c r="DY179" s="27"/>
      <c r="DZ179" s="27"/>
      <c r="EA179" s="27"/>
      <c r="EB179" s="27"/>
      <c r="EC179" s="27"/>
    </row>
    <row r="180" spans="1:133" s="16" customFormat="1" ht="204.75" x14ac:dyDescent="0.25">
      <c r="A180" s="148" t="s">
        <v>28</v>
      </c>
      <c r="B180" s="56" t="s">
        <v>361</v>
      </c>
      <c r="C180" s="56" t="s">
        <v>404</v>
      </c>
      <c r="D180" s="56" t="s">
        <v>405</v>
      </c>
      <c r="E180" s="57">
        <v>1</v>
      </c>
      <c r="F180" s="154">
        <v>1</v>
      </c>
      <c r="G180" s="108" t="s">
        <v>409</v>
      </c>
      <c r="H180" s="108" t="s">
        <v>1316</v>
      </c>
      <c r="I180" s="108" t="s">
        <v>410</v>
      </c>
      <c r="J180" s="108" t="s">
        <v>1683</v>
      </c>
      <c r="K180" s="99">
        <v>2</v>
      </c>
      <c r="L180" s="178">
        <v>2</v>
      </c>
      <c r="M180" s="54" t="s">
        <v>337</v>
      </c>
      <c r="N180" s="100" t="s">
        <v>369</v>
      </c>
      <c r="O180" s="54" t="s">
        <v>408</v>
      </c>
      <c r="P180" s="73" t="s">
        <v>42</v>
      </c>
      <c r="Q180" s="54" t="s">
        <v>1679</v>
      </c>
      <c r="R180" s="182">
        <v>2</v>
      </c>
      <c r="S180" s="178">
        <v>2</v>
      </c>
      <c r="T180" s="178">
        <v>2</v>
      </c>
      <c r="U180" s="183">
        <v>2</v>
      </c>
      <c r="V180" s="59">
        <v>3095583000</v>
      </c>
      <c r="W180" s="60"/>
      <c r="X180" s="60"/>
      <c r="Y180" s="60"/>
      <c r="Z180" s="60"/>
      <c r="AA180" s="61"/>
      <c r="AB180" s="62">
        <v>1400000000</v>
      </c>
      <c r="AC180" s="60"/>
      <c r="AD180" s="60"/>
      <c r="AE180" s="60"/>
      <c r="AF180" s="60"/>
      <c r="AG180" s="60"/>
      <c r="AH180" s="63"/>
      <c r="AI180" s="62">
        <v>1470000000</v>
      </c>
      <c r="AJ180" s="60"/>
      <c r="AK180" s="60"/>
      <c r="AL180" s="60"/>
      <c r="AM180" s="60"/>
      <c r="AN180" s="60"/>
      <c r="AO180" s="63"/>
      <c r="AP180" s="62">
        <v>1544000000</v>
      </c>
      <c r="AQ180" s="60"/>
      <c r="AR180" s="60"/>
      <c r="AS180" s="60"/>
      <c r="AT180" s="60"/>
      <c r="AU180" s="60"/>
      <c r="AV180" s="64"/>
      <c r="AW180" s="55">
        <f t="shared" si="12"/>
        <v>3095583000</v>
      </c>
      <c r="AX180" s="55">
        <f t="shared" si="13"/>
        <v>1400000000</v>
      </c>
      <c r="AY180" s="55">
        <f t="shared" si="14"/>
        <v>1470000000</v>
      </c>
      <c r="AZ180" s="55">
        <f t="shared" si="15"/>
        <v>1544000000</v>
      </c>
      <c r="BA180" s="55">
        <f t="shared" si="16"/>
        <v>7509583000</v>
      </c>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row>
    <row r="181" spans="1:133" s="16" customFormat="1" ht="204.75" x14ac:dyDescent="0.25">
      <c r="A181" s="148" t="s">
        <v>28</v>
      </c>
      <c r="B181" s="56" t="s">
        <v>361</v>
      </c>
      <c r="C181" s="56" t="s">
        <v>404</v>
      </c>
      <c r="D181" s="56" t="s">
        <v>405</v>
      </c>
      <c r="E181" s="57">
        <v>1</v>
      </c>
      <c r="F181" s="154">
        <v>1</v>
      </c>
      <c r="G181" s="107" t="s">
        <v>411</v>
      </c>
      <c r="H181" s="107" t="s">
        <v>1317</v>
      </c>
      <c r="I181" s="108" t="s">
        <v>412</v>
      </c>
      <c r="J181" s="108" t="s">
        <v>1682</v>
      </c>
      <c r="K181" s="178">
        <v>0</v>
      </c>
      <c r="L181" s="179">
        <v>100</v>
      </c>
      <c r="M181" s="54" t="s">
        <v>337</v>
      </c>
      <c r="N181" s="100" t="s">
        <v>369</v>
      </c>
      <c r="O181" s="54" t="s">
        <v>408</v>
      </c>
      <c r="P181" s="73" t="s">
        <v>39</v>
      </c>
      <c r="Q181" s="176" t="s">
        <v>1680</v>
      </c>
      <c r="R181" s="182">
        <v>0</v>
      </c>
      <c r="S181" s="178">
        <v>30</v>
      </c>
      <c r="T181" s="178">
        <v>50</v>
      </c>
      <c r="U181" s="183">
        <v>20</v>
      </c>
      <c r="V181" s="59"/>
      <c r="W181" s="60"/>
      <c r="X181" s="60"/>
      <c r="Y181" s="60"/>
      <c r="Z181" s="60"/>
      <c r="AA181" s="61"/>
      <c r="AB181" s="62">
        <v>1000000</v>
      </c>
      <c r="AC181" s="60"/>
      <c r="AD181" s="60"/>
      <c r="AE181" s="60"/>
      <c r="AF181" s="60"/>
      <c r="AG181" s="60"/>
      <c r="AH181" s="63"/>
      <c r="AI181" s="62">
        <v>2000000</v>
      </c>
      <c r="AJ181" s="60"/>
      <c r="AK181" s="60"/>
      <c r="AL181" s="60"/>
      <c r="AM181" s="60"/>
      <c r="AN181" s="60"/>
      <c r="AO181" s="63"/>
      <c r="AP181" s="62">
        <v>3000000</v>
      </c>
      <c r="AQ181" s="60"/>
      <c r="AR181" s="60"/>
      <c r="AS181" s="60"/>
      <c r="AT181" s="60"/>
      <c r="AU181" s="60"/>
      <c r="AV181" s="64"/>
      <c r="AW181" s="55">
        <f t="shared" si="12"/>
        <v>0</v>
      </c>
      <c r="AX181" s="55">
        <f t="shared" si="13"/>
        <v>1000000</v>
      </c>
      <c r="AY181" s="55">
        <f t="shared" si="14"/>
        <v>2000000</v>
      </c>
      <c r="AZ181" s="55">
        <f t="shared" si="15"/>
        <v>3000000</v>
      </c>
      <c r="BA181" s="55">
        <f t="shared" si="16"/>
        <v>6000000</v>
      </c>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row>
    <row r="182" spans="1:133" s="12" customFormat="1" ht="94.5" x14ac:dyDescent="0.25">
      <c r="A182" s="148" t="s">
        <v>28</v>
      </c>
      <c r="B182" s="56" t="s">
        <v>361</v>
      </c>
      <c r="C182" s="115" t="s">
        <v>413</v>
      </c>
      <c r="D182" s="116" t="s">
        <v>381</v>
      </c>
      <c r="E182" s="116">
        <v>324.5</v>
      </c>
      <c r="F182" s="116">
        <v>267.5</v>
      </c>
      <c r="G182" s="107" t="s">
        <v>414</v>
      </c>
      <c r="H182" s="107" t="s">
        <v>1318</v>
      </c>
      <c r="I182" s="108" t="s">
        <v>415</v>
      </c>
      <c r="J182" s="108" t="s">
        <v>1683</v>
      </c>
      <c r="K182" s="77">
        <v>0</v>
      </c>
      <c r="L182" s="180">
        <v>1</v>
      </c>
      <c r="M182" s="108" t="s">
        <v>337</v>
      </c>
      <c r="N182" s="100" t="s">
        <v>369</v>
      </c>
      <c r="O182" s="54" t="s">
        <v>360</v>
      </c>
      <c r="P182" s="73" t="s">
        <v>39</v>
      </c>
      <c r="Q182" s="176" t="s">
        <v>1680</v>
      </c>
      <c r="R182" s="182">
        <v>0</v>
      </c>
      <c r="S182" s="178">
        <v>0</v>
      </c>
      <c r="T182" s="178">
        <v>1</v>
      </c>
      <c r="U182" s="183">
        <v>0</v>
      </c>
      <c r="V182" s="59"/>
      <c r="W182" s="60"/>
      <c r="X182" s="60"/>
      <c r="Y182" s="60"/>
      <c r="Z182" s="60"/>
      <c r="AA182" s="61"/>
      <c r="AB182" s="62"/>
      <c r="AC182" s="60"/>
      <c r="AD182" s="60"/>
      <c r="AE182" s="60"/>
      <c r="AF182" s="60"/>
      <c r="AG182" s="60"/>
      <c r="AH182" s="63"/>
      <c r="AI182" s="62">
        <v>473000000</v>
      </c>
      <c r="AJ182" s="60"/>
      <c r="AK182" s="60"/>
      <c r="AL182" s="60"/>
      <c r="AM182" s="60"/>
      <c r="AN182" s="60"/>
      <c r="AO182" s="63"/>
      <c r="AP182" s="62"/>
      <c r="AQ182" s="60"/>
      <c r="AR182" s="60"/>
      <c r="AS182" s="60"/>
      <c r="AT182" s="60"/>
      <c r="AU182" s="60"/>
      <c r="AV182" s="64"/>
      <c r="AW182" s="55">
        <f t="shared" si="12"/>
        <v>0</v>
      </c>
      <c r="AX182" s="55">
        <f t="shared" si="13"/>
        <v>0</v>
      </c>
      <c r="AY182" s="55">
        <f t="shared" si="14"/>
        <v>473000000</v>
      </c>
      <c r="AZ182" s="55">
        <f t="shared" si="15"/>
        <v>0</v>
      </c>
      <c r="BA182" s="55">
        <f t="shared" si="16"/>
        <v>473000000</v>
      </c>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row>
    <row r="183" spans="1:133" s="12" customFormat="1" ht="110.25" x14ac:dyDescent="0.25">
      <c r="A183" s="148" t="s">
        <v>28</v>
      </c>
      <c r="B183" s="56" t="s">
        <v>361</v>
      </c>
      <c r="C183" s="115" t="s">
        <v>413</v>
      </c>
      <c r="D183" s="116" t="s">
        <v>381</v>
      </c>
      <c r="E183" s="116">
        <v>324.5</v>
      </c>
      <c r="F183" s="116">
        <v>267.5</v>
      </c>
      <c r="G183" s="108" t="s">
        <v>416</v>
      </c>
      <c r="H183" s="108" t="s">
        <v>1319</v>
      </c>
      <c r="I183" s="108" t="s">
        <v>417</v>
      </c>
      <c r="J183" s="108" t="s">
        <v>1683</v>
      </c>
      <c r="K183" s="99">
        <v>7</v>
      </c>
      <c r="L183" s="178">
        <v>7</v>
      </c>
      <c r="M183" s="108" t="s">
        <v>337</v>
      </c>
      <c r="N183" s="100" t="s">
        <v>369</v>
      </c>
      <c r="O183" s="54" t="s">
        <v>360</v>
      </c>
      <c r="P183" s="73" t="s">
        <v>42</v>
      </c>
      <c r="Q183" s="54" t="s">
        <v>1679</v>
      </c>
      <c r="R183" s="182">
        <v>7</v>
      </c>
      <c r="S183" s="178">
        <v>7</v>
      </c>
      <c r="T183" s="178">
        <v>7</v>
      </c>
      <c r="U183" s="183">
        <v>7</v>
      </c>
      <c r="V183" s="59">
        <v>2500000000</v>
      </c>
      <c r="W183" s="60"/>
      <c r="X183" s="60"/>
      <c r="Y183" s="60"/>
      <c r="Z183" s="60"/>
      <c r="AA183" s="61"/>
      <c r="AB183" s="62">
        <v>1600000000</v>
      </c>
      <c r="AC183" s="60"/>
      <c r="AD183" s="60"/>
      <c r="AE183" s="60"/>
      <c r="AF183" s="60"/>
      <c r="AG183" s="60"/>
      <c r="AH183" s="63"/>
      <c r="AI183" s="62">
        <v>1680000000</v>
      </c>
      <c r="AJ183" s="60"/>
      <c r="AK183" s="60"/>
      <c r="AL183" s="60"/>
      <c r="AM183" s="60"/>
      <c r="AN183" s="60"/>
      <c r="AO183" s="63"/>
      <c r="AP183" s="62">
        <v>1764000000</v>
      </c>
      <c r="AQ183" s="60"/>
      <c r="AR183" s="60"/>
      <c r="AS183" s="60"/>
      <c r="AT183" s="60"/>
      <c r="AU183" s="60"/>
      <c r="AV183" s="64"/>
      <c r="AW183" s="55">
        <f t="shared" si="12"/>
        <v>2500000000</v>
      </c>
      <c r="AX183" s="55">
        <f t="shared" si="13"/>
        <v>1600000000</v>
      </c>
      <c r="AY183" s="55">
        <f t="shared" si="14"/>
        <v>1680000000</v>
      </c>
      <c r="AZ183" s="55">
        <f t="shared" si="15"/>
        <v>1764000000</v>
      </c>
      <c r="BA183" s="55">
        <f t="shared" si="16"/>
        <v>7544000000</v>
      </c>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c r="EB183" s="41"/>
      <c r="EC183" s="41"/>
    </row>
    <row r="184" spans="1:133" s="12" customFormat="1" ht="94.5" x14ac:dyDescent="0.25">
      <c r="A184" s="148" t="s">
        <v>28</v>
      </c>
      <c r="B184" s="56" t="s">
        <v>361</v>
      </c>
      <c r="C184" s="115" t="s">
        <v>413</v>
      </c>
      <c r="D184" s="116" t="s">
        <v>381</v>
      </c>
      <c r="E184" s="116">
        <v>324.5</v>
      </c>
      <c r="F184" s="116">
        <v>267.5</v>
      </c>
      <c r="G184" s="108" t="s">
        <v>418</v>
      </c>
      <c r="H184" s="108" t="s">
        <v>1320</v>
      </c>
      <c r="I184" s="108" t="s">
        <v>419</v>
      </c>
      <c r="J184" s="108" t="s">
        <v>1682</v>
      </c>
      <c r="K184" s="178">
        <v>100</v>
      </c>
      <c r="L184" s="179">
        <v>100</v>
      </c>
      <c r="M184" s="108" t="s">
        <v>337</v>
      </c>
      <c r="N184" s="100" t="s">
        <v>369</v>
      </c>
      <c r="O184" s="54" t="s">
        <v>360</v>
      </c>
      <c r="P184" s="73" t="s">
        <v>42</v>
      </c>
      <c r="Q184" s="54" t="s">
        <v>1679</v>
      </c>
      <c r="R184" s="182">
        <v>100</v>
      </c>
      <c r="S184" s="178">
        <v>100</v>
      </c>
      <c r="T184" s="178">
        <v>100</v>
      </c>
      <c r="U184" s="183">
        <v>100</v>
      </c>
      <c r="V184" s="59">
        <v>1700000000</v>
      </c>
      <c r="W184" s="60"/>
      <c r="X184" s="60"/>
      <c r="Y184" s="60"/>
      <c r="Z184" s="60"/>
      <c r="AA184" s="61"/>
      <c r="AB184" s="62">
        <v>1000000000</v>
      </c>
      <c r="AC184" s="60"/>
      <c r="AD184" s="60"/>
      <c r="AE184" s="60"/>
      <c r="AF184" s="60"/>
      <c r="AG184" s="60"/>
      <c r="AH184" s="63"/>
      <c r="AI184" s="62">
        <v>1050000000</v>
      </c>
      <c r="AJ184" s="60"/>
      <c r="AK184" s="60"/>
      <c r="AL184" s="60"/>
      <c r="AM184" s="60"/>
      <c r="AN184" s="60"/>
      <c r="AO184" s="63"/>
      <c r="AP184" s="62">
        <v>1103000000</v>
      </c>
      <c r="AQ184" s="60"/>
      <c r="AR184" s="60"/>
      <c r="AS184" s="60"/>
      <c r="AT184" s="60"/>
      <c r="AU184" s="60"/>
      <c r="AV184" s="64"/>
      <c r="AW184" s="55">
        <f t="shared" si="12"/>
        <v>1700000000</v>
      </c>
      <c r="AX184" s="55">
        <f t="shared" si="13"/>
        <v>1000000000</v>
      </c>
      <c r="AY184" s="55">
        <f t="shared" si="14"/>
        <v>1050000000</v>
      </c>
      <c r="AZ184" s="55">
        <f t="shared" si="15"/>
        <v>1103000000</v>
      </c>
      <c r="BA184" s="55">
        <f t="shared" si="16"/>
        <v>4853000000</v>
      </c>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row>
    <row r="185" spans="1:133" s="28" customFormat="1" ht="126" x14ac:dyDescent="0.25">
      <c r="A185" s="148" t="s">
        <v>28</v>
      </c>
      <c r="B185" s="56" t="s">
        <v>361</v>
      </c>
      <c r="C185" s="56" t="s">
        <v>420</v>
      </c>
      <c r="D185" s="116" t="s">
        <v>381</v>
      </c>
      <c r="E185" s="116">
        <v>324.5</v>
      </c>
      <c r="F185" s="116">
        <v>267.5</v>
      </c>
      <c r="G185" s="110" t="s">
        <v>421</v>
      </c>
      <c r="H185" s="110" t="s">
        <v>1321</v>
      </c>
      <c r="I185" s="108" t="s">
        <v>422</v>
      </c>
      <c r="J185" s="108" t="s">
        <v>1683</v>
      </c>
      <c r="K185" s="99">
        <v>0</v>
      </c>
      <c r="L185" s="178">
        <v>5</v>
      </c>
      <c r="M185" s="108" t="s">
        <v>337</v>
      </c>
      <c r="N185" s="100" t="s">
        <v>369</v>
      </c>
      <c r="O185" s="54" t="s">
        <v>360</v>
      </c>
      <c r="P185" s="81" t="s">
        <v>39</v>
      </c>
      <c r="Q185" s="174" t="s">
        <v>1680</v>
      </c>
      <c r="R185" s="182">
        <v>0</v>
      </c>
      <c r="S185" s="178">
        <v>1</v>
      </c>
      <c r="T185" s="178">
        <v>2</v>
      </c>
      <c r="U185" s="183">
        <v>2</v>
      </c>
      <c r="V185" s="59"/>
      <c r="W185" s="60"/>
      <c r="X185" s="60"/>
      <c r="Y185" s="60"/>
      <c r="Z185" s="60"/>
      <c r="AA185" s="61"/>
      <c r="AB185" s="62">
        <f>1800000000/5</f>
        <v>360000000</v>
      </c>
      <c r="AC185" s="60"/>
      <c r="AD185" s="60"/>
      <c r="AE185" s="60"/>
      <c r="AF185" s="60"/>
      <c r="AG185" s="60"/>
      <c r="AH185" s="63"/>
      <c r="AI185" s="62">
        <f>1890000000/5</f>
        <v>378000000</v>
      </c>
      <c r="AJ185" s="60"/>
      <c r="AK185" s="60"/>
      <c r="AL185" s="60"/>
      <c r="AM185" s="60"/>
      <c r="AN185" s="60"/>
      <c r="AO185" s="63"/>
      <c r="AP185" s="62">
        <f>1985000000/4</f>
        <v>496250000</v>
      </c>
      <c r="AQ185" s="60"/>
      <c r="AR185" s="60"/>
      <c r="AS185" s="60"/>
      <c r="AT185" s="60"/>
      <c r="AU185" s="60"/>
      <c r="AV185" s="64"/>
      <c r="AW185" s="55">
        <f t="shared" si="12"/>
        <v>0</v>
      </c>
      <c r="AX185" s="55">
        <f t="shared" si="13"/>
        <v>360000000</v>
      </c>
      <c r="AY185" s="55">
        <f t="shared" si="14"/>
        <v>378000000</v>
      </c>
      <c r="AZ185" s="55">
        <f t="shared" si="15"/>
        <v>496250000</v>
      </c>
      <c r="BA185" s="55">
        <f t="shared" si="16"/>
        <v>1234250000</v>
      </c>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c r="EC185" s="27"/>
    </row>
    <row r="186" spans="1:133" s="16" customFormat="1" ht="126" x14ac:dyDescent="0.25">
      <c r="A186" s="148" t="s">
        <v>28</v>
      </c>
      <c r="B186" s="56" t="s">
        <v>361</v>
      </c>
      <c r="C186" s="56" t="s">
        <v>420</v>
      </c>
      <c r="D186" s="116" t="s">
        <v>381</v>
      </c>
      <c r="E186" s="116">
        <v>324.5</v>
      </c>
      <c r="F186" s="116">
        <v>267.5</v>
      </c>
      <c r="G186" s="110" t="s">
        <v>421</v>
      </c>
      <c r="H186" s="110" t="s">
        <v>1322</v>
      </c>
      <c r="I186" s="108" t="s">
        <v>423</v>
      </c>
      <c r="J186" s="108" t="s">
        <v>1683</v>
      </c>
      <c r="K186" s="99">
        <v>0</v>
      </c>
      <c r="L186" s="178">
        <v>49</v>
      </c>
      <c r="M186" s="108" t="s">
        <v>337</v>
      </c>
      <c r="N186" s="100" t="s">
        <v>369</v>
      </c>
      <c r="O186" s="54" t="s">
        <v>360</v>
      </c>
      <c r="P186" s="73" t="s">
        <v>39</v>
      </c>
      <c r="Q186" s="176" t="s">
        <v>1680</v>
      </c>
      <c r="R186" s="182">
        <v>0</v>
      </c>
      <c r="S186" s="178">
        <v>12</v>
      </c>
      <c r="T186" s="178">
        <v>17</v>
      </c>
      <c r="U186" s="183">
        <v>20</v>
      </c>
      <c r="V186" s="59"/>
      <c r="W186" s="60"/>
      <c r="X186" s="60"/>
      <c r="Y186" s="60"/>
      <c r="Z186" s="60"/>
      <c r="AA186" s="61"/>
      <c r="AB186" s="62">
        <f>1800000000/5</f>
        <v>360000000</v>
      </c>
      <c r="AC186" s="60"/>
      <c r="AD186" s="60"/>
      <c r="AE186" s="60"/>
      <c r="AF186" s="60"/>
      <c r="AG186" s="60"/>
      <c r="AH186" s="63"/>
      <c r="AI186" s="62">
        <f>1890000000/5</f>
        <v>378000000</v>
      </c>
      <c r="AJ186" s="60"/>
      <c r="AK186" s="60"/>
      <c r="AL186" s="60"/>
      <c r="AM186" s="60"/>
      <c r="AN186" s="60"/>
      <c r="AO186" s="63"/>
      <c r="AP186" s="62">
        <f>1985000000/4</f>
        <v>496250000</v>
      </c>
      <c r="AQ186" s="60"/>
      <c r="AR186" s="60"/>
      <c r="AS186" s="60"/>
      <c r="AT186" s="60"/>
      <c r="AU186" s="60"/>
      <c r="AV186" s="64"/>
      <c r="AW186" s="55">
        <f t="shared" si="12"/>
        <v>0</v>
      </c>
      <c r="AX186" s="55">
        <f t="shared" si="13"/>
        <v>360000000</v>
      </c>
      <c r="AY186" s="55">
        <f t="shared" si="14"/>
        <v>378000000</v>
      </c>
      <c r="AZ186" s="55">
        <f t="shared" si="15"/>
        <v>496250000</v>
      </c>
      <c r="BA186" s="55">
        <f t="shared" si="16"/>
        <v>1234250000</v>
      </c>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row>
    <row r="187" spans="1:133" s="26" customFormat="1" ht="126" x14ac:dyDescent="0.25">
      <c r="A187" s="148" t="s">
        <v>28</v>
      </c>
      <c r="B187" s="56" t="s">
        <v>361</v>
      </c>
      <c r="C187" s="56" t="s">
        <v>420</v>
      </c>
      <c r="D187" s="116" t="s">
        <v>381</v>
      </c>
      <c r="E187" s="116">
        <v>324.5</v>
      </c>
      <c r="F187" s="116">
        <v>267.5</v>
      </c>
      <c r="G187" s="110" t="s">
        <v>421</v>
      </c>
      <c r="H187" s="110" t="s">
        <v>1323</v>
      </c>
      <c r="I187" s="108" t="s">
        <v>424</v>
      </c>
      <c r="J187" s="108" t="s">
        <v>1683</v>
      </c>
      <c r="K187" s="99">
        <v>17</v>
      </c>
      <c r="L187" s="178">
        <v>23</v>
      </c>
      <c r="M187" s="108" t="s">
        <v>337</v>
      </c>
      <c r="N187" s="100" t="s">
        <v>369</v>
      </c>
      <c r="O187" s="54" t="s">
        <v>360</v>
      </c>
      <c r="P187" s="74" t="s">
        <v>1677</v>
      </c>
      <c r="Q187" s="175" t="s">
        <v>1680</v>
      </c>
      <c r="R187" s="182">
        <v>0</v>
      </c>
      <c r="S187" s="178">
        <v>1</v>
      </c>
      <c r="T187" s="178">
        <v>2</v>
      </c>
      <c r="U187" s="183">
        <v>3</v>
      </c>
      <c r="V187" s="59"/>
      <c r="W187" s="60"/>
      <c r="X187" s="60"/>
      <c r="Y187" s="60"/>
      <c r="Z187" s="60"/>
      <c r="AA187" s="61"/>
      <c r="AB187" s="62">
        <f>1800000000/5</f>
        <v>360000000</v>
      </c>
      <c r="AC187" s="60"/>
      <c r="AD187" s="60"/>
      <c r="AE187" s="60"/>
      <c r="AF187" s="60"/>
      <c r="AG187" s="60"/>
      <c r="AH187" s="63"/>
      <c r="AI187" s="62">
        <f>1890000000/5</f>
        <v>378000000</v>
      </c>
      <c r="AJ187" s="60"/>
      <c r="AK187" s="60"/>
      <c r="AL187" s="60"/>
      <c r="AM187" s="60"/>
      <c r="AN187" s="60"/>
      <c r="AO187" s="63"/>
      <c r="AP187" s="62">
        <f>1985000000/4</f>
        <v>496250000</v>
      </c>
      <c r="AQ187" s="60"/>
      <c r="AR187" s="60"/>
      <c r="AS187" s="60"/>
      <c r="AT187" s="60"/>
      <c r="AU187" s="60"/>
      <c r="AV187" s="64"/>
      <c r="AW187" s="55">
        <f t="shared" si="12"/>
        <v>0</v>
      </c>
      <c r="AX187" s="55">
        <f t="shared" si="13"/>
        <v>360000000</v>
      </c>
      <c r="AY187" s="55">
        <f t="shared" si="14"/>
        <v>378000000</v>
      </c>
      <c r="AZ187" s="55">
        <f t="shared" si="15"/>
        <v>496250000</v>
      </c>
      <c r="BA187" s="55">
        <f t="shared" si="16"/>
        <v>1234250000</v>
      </c>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row>
    <row r="188" spans="1:133" s="18" customFormat="1" ht="126" x14ac:dyDescent="0.25">
      <c r="A188" s="148" t="s">
        <v>28</v>
      </c>
      <c r="B188" s="56" t="s">
        <v>361</v>
      </c>
      <c r="C188" s="56" t="s">
        <v>420</v>
      </c>
      <c r="D188" s="116" t="s">
        <v>381</v>
      </c>
      <c r="E188" s="116">
        <v>324.5</v>
      </c>
      <c r="F188" s="116">
        <v>267.5</v>
      </c>
      <c r="G188" s="110" t="s">
        <v>421</v>
      </c>
      <c r="H188" s="110" t="s">
        <v>1324</v>
      </c>
      <c r="I188" s="108" t="s">
        <v>425</v>
      </c>
      <c r="J188" s="108" t="s">
        <v>1683</v>
      </c>
      <c r="K188" s="99">
        <v>0</v>
      </c>
      <c r="L188" s="178">
        <v>2</v>
      </c>
      <c r="M188" s="108" t="s">
        <v>337</v>
      </c>
      <c r="N188" s="100" t="s">
        <v>369</v>
      </c>
      <c r="O188" s="54" t="s">
        <v>360</v>
      </c>
      <c r="P188" s="74" t="s">
        <v>39</v>
      </c>
      <c r="Q188" s="175" t="s">
        <v>1680</v>
      </c>
      <c r="R188" s="182">
        <v>0</v>
      </c>
      <c r="S188" s="178">
        <v>1</v>
      </c>
      <c r="T188" s="178">
        <v>1</v>
      </c>
      <c r="U188" s="183">
        <v>0</v>
      </c>
      <c r="V188" s="59"/>
      <c r="W188" s="60"/>
      <c r="X188" s="60"/>
      <c r="Y188" s="60"/>
      <c r="Z188" s="60"/>
      <c r="AA188" s="61"/>
      <c r="AB188" s="62">
        <f>1800000000/5</f>
        <v>360000000</v>
      </c>
      <c r="AC188" s="60"/>
      <c r="AD188" s="60"/>
      <c r="AE188" s="60"/>
      <c r="AF188" s="60"/>
      <c r="AG188" s="60"/>
      <c r="AH188" s="63"/>
      <c r="AI188" s="62">
        <f>1890000000/5</f>
        <v>378000000</v>
      </c>
      <c r="AJ188" s="60"/>
      <c r="AK188" s="60"/>
      <c r="AL188" s="60"/>
      <c r="AM188" s="60"/>
      <c r="AN188" s="60"/>
      <c r="AO188" s="63"/>
      <c r="AP188" s="62"/>
      <c r="AQ188" s="60"/>
      <c r="AR188" s="60"/>
      <c r="AS188" s="60"/>
      <c r="AT188" s="60"/>
      <c r="AU188" s="60"/>
      <c r="AV188" s="64"/>
      <c r="AW188" s="55">
        <f t="shared" si="12"/>
        <v>0</v>
      </c>
      <c r="AX188" s="55">
        <f t="shared" si="13"/>
        <v>360000000</v>
      </c>
      <c r="AY188" s="55">
        <f t="shared" si="14"/>
        <v>378000000</v>
      </c>
      <c r="AZ188" s="55">
        <f t="shared" si="15"/>
        <v>0</v>
      </c>
      <c r="BA188" s="55">
        <f t="shared" si="16"/>
        <v>738000000</v>
      </c>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row>
    <row r="189" spans="1:133" s="18" customFormat="1" ht="126" x14ac:dyDescent="0.25">
      <c r="A189" s="148" t="s">
        <v>28</v>
      </c>
      <c r="B189" s="56" t="s">
        <v>361</v>
      </c>
      <c r="C189" s="56" t="s">
        <v>420</v>
      </c>
      <c r="D189" s="116" t="s">
        <v>381</v>
      </c>
      <c r="E189" s="116">
        <v>324.5</v>
      </c>
      <c r="F189" s="116">
        <v>267.5</v>
      </c>
      <c r="G189" s="110" t="s">
        <v>421</v>
      </c>
      <c r="H189" s="110" t="s">
        <v>1325</v>
      </c>
      <c r="I189" s="108" t="s">
        <v>426</v>
      </c>
      <c r="J189" s="108" t="s">
        <v>1683</v>
      </c>
      <c r="K189" s="99">
        <v>0</v>
      </c>
      <c r="L189" s="178">
        <v>11</v>
      </c>
      <c r="M189" s="108" t="s">
        <v>337</v>
      </c>
      <c r="N189" s="100" t="s">
        <v>369</v>
      </c>
      <c r="O189" s="54" t="s">
        <v>360</v>
      </c>
      <c r="P189" s="74" t="s">
        <v>39</v>
      </c>
      <c r="Q189" s="175" t="s">
        <v>1680</v>
      </c>
      <c r="R189" s="182">
        <v>0</v>
      </c>
      <c r="S189" s="178">
        <v>4</v>
      </c>
      <c r="T189" s="178">
        <v>4</v>
      </c>
      <c r="U189" s="183">
        <v>3</v>
      </c>
      <c r="V189" s="59"/>
      <c r="W189" s="60"/>
      <c r="X189" s="60"/>
      <c r="Y189" s="60"/>
      <c r="Z189" s="60"/>
      <c r="AA189" s="61"/>
      <c r="AB189" s="62">
        <f>1800000000/5</f>
        <v>360000000</v>
      </c>
      <c r="AC189" s="60"/>
      <c r="AD189" s="60"/>
      <c r="AE189" s="60"/>
      <c r="AF189" s="60"/>
      <c r="AG189" s="60"/>
      <c r="AH189" s="63"/>
      <c r="AI189" s="62">
        <f>1890000000/5</f>
        <v>378000000</v>
      </c>
      <c r="AJ189" s="60"/>
      <c r="AK189" s="60"/>
      <c r="AL189" s="60"/>
      <c r="AM189" s="60"/>
      <c r="AN189" s="60"/>
      <c r="AO189" s="63"/>
      <c r="AP189" s="62">
        <f>1985000000/4</f>
        <v>496250000</v>
      </c>
      <c r="AQ189" s="60"/>
      <c r="AR189" s="60"/>
      <c r="AS189" s="60"/>
      <c r="AT189" s="60"/>
      <c r="AU189" s="60"/>
      <c r="AV189" s="64"/>
      <c r="AW189" s="55">
        <f t="shared" si="12"/>
        <v>0</v>
      </c>
      <c r="AX189" s="55">
        <f t="shared" si="13"/>
        <v>360000000</v>
      </c>
      <c r="AY189" s="55">
        <f t="shared" si="14"/>
        <v>378000000</v>
      </c>
      <c r="AZ189" s="55">
        <f t="shared" si="15"/>
        <v>496250000</v>
      </c>
      <c r="BA189" s="55">
        <f t="shared" si="16"/>
        <v>1234250000</v>
      </c>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row>
    <row r="190" spans="1:133" s="18" customFormat="1" ht="141.75" x14ac:dyDescent="0.25">
      <c r="A190" s="148" t="s">
        <v>28</v>
      </c>
      <c r="B190" s="56" t="s">
        <v>361</v>
      </c>
      <c r="C190" s="56" t="s">
        <v>420</v>
      </c>
      <c r="D190" s="116" t="s">
        <v>381</v>
      </c>
      <c r="E190" s="116">
        <v>324.5</v>
      </c>
      <c r="F190" s="116">
        <v>267.5</v>
      </c>
      <c r="G190" s="103" t="s">
        <v>427</v>
      </c>
      <c r="H190" s="103" t="s">
        <v>1326</v>
      </c>
      <c r="I190" s="108" t="s">
        <v>428</v>
      </c>
      <c r="J190" s="108" t="s">
        <v>1683</v>
      </c>
      <c r="K190" s="99">
        <v>150</v>
      </c>
      <c r="L190" s="178">
        <v>175</v>
      </c>
      <c r="M190" s="108" t="s">
        <v>337</v>
      </c>
      <c r="N190" s="100" t="s">
        <v>369</v>
      </c>
      <c r="O190" s="54" t="s">
        <v>360</v>
      </c>
      <c r="P190" s="74" t="s">
        <v>42</v>
      </c>
      <c r="Q190" s="54" t="s">
        <v>1679</v>
      </c>
      <c r="R190" s="182">
        <v>175</v>
      </c>
      <c r="S190" s="178">
        <v>175</v>
      </c>
      <c r="T190" s="178">
        <v>175</v>
      </c>
      <c r="U190" s="183">
        <v>175</v>
      </c>
      <c r="V190" s="59">
        <v>3700000000</v>
      </c>
      <c r="W190" s="60"/>
      <c r="X190" s="60"/>
      <c r="Y190" s="60"/>
      <c r="Z190" s="60"/>
      <c r="AA190" s="61"/>
      <c r="AB190" s="62">
        <v>500000000</v>
      </c>
      <c r="AC190" s="60"/>
      <c r="AD190" s="60"/>
      <c r="AE190" s="60"/>
      <c r="AF190" s="60"/>
      <c r="AG190" s="60"/>
      <c r="AH190" s="63"/>
      <c r="AI190" s="62">
        <v>525000000</v>
      </c>
      <c r="AJ190" s="60"/>
      <c r="AK190" s="60"/>
      <c r="AL190" s="60"/>
      <c r="AM190" s="60"/>
      <c r="AN190" s="60"/>
      <c r="AO190" s="63"/>
      <c r="AP190" s="62">
        <v>552000000</v>
      </c>
      <c r="AQ190" s="60"/>
      <c r="AR190" s="60"/>
      <c r="AS190" s="60"/>
      <c r="AT190" s="60"/>
      <c r="AU190" s="60"/>
      <c r="AV190" s="64"/>
      <c r="AW190" s="55">
        <f t="shared" si="12"/>
        <v>3700000000</v>
      </c>
      <c r="AX190" s="55">
        <f t="shared" si="13"/>
        <v>500000000</v>
      </c>
      <c r="AY190" s="55">
        <f t="shared" si="14"/>
        <v>525000000</v>
      </c>
      <c r="AZ190" s="55">
        <f t="shared" si="15"/>
        <v>552000000</v>
      </c>
      <c r="BA190" s="55">
        <f t="shared" si="16"/>
        <v>5277000000</v>
      </c>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row>
    <row r="191" spans="1:133" s="19" customFormat="1" ht="141.75" x14ac:dyDescent="0.25">
      <c r="A191" s="148" t="s">
        <v>28</v>
      </c>
      <c r="B191" s="56" t="s">
        <v>361</v>
      </c>
      <c r="C191" s="56" t="s">
        <v>420</v>
      </c>
      <c r="D191" s="116" t="s">
        <v>381</v>
      </c>
      <c r="E191" s="116">
        <v>324.5</v>
      </c>
      <c r="F191" s="116">
        <v>267.5</v>
      </c>
      <c r="G191" s="103" t="s">
        <v>429</v>
      </c>
      <c r="H191" s="103" t="s">
        <v>1327</v>
      </c>
      <c r="I191" s="108" t="s">
        <v>430</v>
      </c>
      <c r="J191" s="108" t="s">
        <v>1683</v>
      </c>
      <c r="K191" s="99">
        <v>0</v>
      </c>
      <c r="L191" s="178">
        <v>2</v>
      </c>
      <c r="M191" s="108" t="s">
        <v>337</v>
      </c>
      <c r="N191" s="100" t="s">
        <v>369</v>
      </c>
      <c r="O191" s="54" t="s">
        <v>360</v>
      </c>
      <c r="P191" s="74" t="s">
        <v>39</v>
      </c>
      <c r="Q191" s="175" t="s">
        <v>1680</v>
      </c>
      <c r="R191" s="182">
        <v>0</v>
      </c>
      <c r="S191" s="178">
        <v>0</v>
      </c>
      <c r="T191" s="178">
        <v>1</v>
      </c>
      <c r="U191" s="183">
        <v>1</v>
      </c>
      <c r="V191" s="59"/>
      <c r="W191" s="60"/>
      <c r="X191" s="60"/>
      <c r="Y191" s="60"/>
      <c r="Z191" s="60"/>
      <c r="AA191" s="61"/>
      <c r="AB191" s="62"/>
      <c r="AC191" s="60"/>
      <c r="AD191" s="60"/>
      <c r="AE191" s="60"/>
      <c r="AF191" s="60"/>
      <c r="AG191" s="60"/>
      <c r="AH191" s="63"/>
      <c r="AI191" s="62">
        <v>630000000</v>
      </c>
      <c r="AJ191" s="60"/>
      <c r="AK191" s="60"/>
      <c r="AL191" s="60"/>
      <c r="AM191" s="60"/>
      <c r="AN191" s="60"/>
      <c r="AO191" s="63"/>
      <c r="AP191" s="62">
        <v>662000000</v>
      </c>
      <c r="AQ191" s="60"/>
      <c r="AR191" s="60"/>
      <c r="AS191" s="60"/>
      <c r="AT191" s="60"/>
      <c r="AU191" s="60"/>
      <c r="AV191" s="64"/>
      <c r="AW191" s="55">
        <f t="shared" si="12"/>
        <v>0</v>
      </c>
      <c r="AX191" s="55">
        <f t="shared" si="13"/>
        <v>0</v>
      </c>
      <c r="AY191" s="55">
        <f t="shared" si="14"/>
        <v>630000000</v>
      </c>
      <c r="AZ191" s="55">
        <f t="shared" si="15"/>
        <v>662000000</v>
      </c>
      <c r="BA191" s="55">
        <f t="shared" si="16"/>
        <v>1292000000</v>
      </c>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row>
    <row r="192" spans="1:133" s="16" customFormat="1" ht="126" x14ac:dyDescent="0.25">
      <c r="A192" s="148" t="s">
        <v>28</v>
      </c>
      <c r="B192" s="56" t="s">
        <v>361</v>
      </c>
      <c r="C192" s="56" t="s">
        <v>420</v>
      </c>
      <c r="D192" s="116" t="s">
        <v>381</v>
      </c>
      <c r="E192" s="116">
        <v>324.5</v>
      </c>
      <c r="F192" s="116">
        <v>267.5</v>
      </c>
      <c r="G192" s="103" t="s">
        <v>431</v>
      </c>
      <c r="H192" s="103" t="s">
        <v>1328</v>
      </c>
      <c r="I192" s="108" t="s">
        <v>432</v>
      </c>
      <c r="J192" s="108" t="s">
        <v>1685</v>
      </c>
      <c r="K192" s="99">
        <v>0</v>
      </c>
      <c r="L192" s="178">
        <v>147</v>
      </c>
      <c r="M192" s="108" t="s">
        <v>337</v>
      </c>
      <c r="N192" s="100" t="s">
        <v>369</v>
      </c>
      <c r="O192" s="54" t="s">
        <v>360</v>
      </c>
      <c r="P192" s="74" t="s">
        <v>39</v>
      </c>
      <c r="Q192" s="175" t="s">
        <v>1680</v>
      </c>
      <c r="R192" s="182">
        <v>0</v>
      </c>
      <c r="S192" s="178">
        <v>40</v>
      </c>
      <c r="T192" s="178">
        <v>57</v>
      </c>
      <c r="U192" s="183">
        <v>50</v>
      </c>
      <c r="V192" s="59"/>
      <c r="W192" s="60"/>
      <c r="X192" s="60"/>
      <c r="Y192" s="60"/>
      <c r="Z192" s="60"/>
      <c r="AA192" s="61"/>
      <c r="AB192" s="62">
        <v>250000000</v>
      </c>
      <c r="AC192" s="60"/>
      <c r="AD192" s="60"/>
      <c r="AE192" s="60"/>
      <c r="AF192" s="60"/>
      <c r="AG192" s="60"/>
      <c r="AH192" s="63"/>
      <c r="AI192" s="62">
        <v>263000000</v>
      </c>
      <c r="AJ192" s="60"/>
      <c r="AK192" s="60"/>
      <c r="AL192" s="60"/>
      <c r="AM192" s="60"/>
      <c r="AN192" s="60"/>
      <c r="AO192" s="63"/>
      <c r="AP192" s="62">
        <v>277000000</v>
      </c>
      <c r="AQ192" s="60"/>
      <c r="AR192" s="60"/>
      <c r="AS192" s="60"/>
      <c r="AT192" s="60"/>
      <c r="AU192" s="60"/>
      <c r="AV192" s="64"/>
      <c r="AW192" s="55">
        <f t="shared" si="12"/>
        <v>0</v>
      </c>
      <c r="AX192" s="55">
        <f t="shared" si="13"/>
        <v>250000000</v>
      </c>
      <c r="AY192" s="55">
        <f t="shared" si="14"/>
        <v>263000000</v>
      </c>
      <c r="AZ192" s="55">
        <f t="shared" si="15"/>
        <v>277000000</v>
      </c>
      <c r="BA192" s="55">
        <f t="shared" si="16"/>
        <v>790000000</v>
      </c>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row>
    <row r="193" spans="1:133" s="16" customFormat="1" ht="94.5" x14ac:dyDescent="0.25">
      <c r="A193" s="148" t="s">
        <v>28</v>
      </c>
      <c r="B193" s="56" t="s">
        <v>361</v>
      </c>
      <c r="C193" s="56" t="s">
        <v>420</v>
      </c>
      <c r="D193" s="116" t="s">
        <v>381</v>
      </c>
      <c r="E193" s="116">
        <v>324.5</v>
      </c>
      <c r="F193" s="116">
        <v>267.5</v>
      </c>
      <c r="G193" s="103" t="s">
        <v>433</v>
      </c>
      <c r="H193" s="103" t="s">
        <v>1329</v>
      </c>
      <c r="I193" s="108" t="s">
        <v>434</v>
      </c>
      <c r="J193" s="108" t="s">
        <v>1682</v>
      </c>
      <c r="K193" s="178">
        <v>100</v>
      </c>
      <c r="L193" s="179">
        <v>100</v>
      </c>
      <c r="M193" s="108" t="s">
        <v>337</v>
      </c>
      <c r="N193" s="100" t="s">
        <v>369</v>
      </c>
      <c r="O193" s="54" t="s">
        <v>360</v>
      </c>
      <c r="P193" s="73" t="s">
        <v>42</v>
      </c>
      <c r="Q193" s="54" t="s">
        <v>1679</v>
      </c>
      <c r="R193" s="182">
        <v>100</v>
      </c>
      <c r="S193" s="178">
        <v>100</v>
      </c>
      <c r="T193" s="178">
        <v>100</v>
      </c>
      <c r="U193" s="183">
        <v>100</v>
      </c>
      <c r="V193" s="59">
        <v>450000000</v>
      </c>
      <c r="W193" s="60"/>
      <c r="X193" s="60"/>
      <c r="Y193" s="60"/>
      <c r="Z193" s="60"/>
      <c r="AA193" s="61"/>
      <c r="AB193" s="62">
        <v>150000000</v>
      </c>
      <c r="AC193" s="60"/>
      <c r="AD193" s="60"/>
      <c r="AE193" s="60"/>
      <c r="AF193" s="60"/>
      <c r="AG193" s="60"/>
      <c r="AH193" s="63"/>
      <c r="AI193" s="62">
        <v>158000000</v>
      </c>
      <c r="AJ193" s="60"/>
      <c r="AK193" s="60"/>
      <c r="AL193" s="60"/>
      <c r="AM193" s="60"/>
      <c r="AN193" s="60"/>
      <c r="AO193" s="63"/>
      <c r="AP193" s="62">
        <v>266000000</v>
      </c>
      <c r="AQ193" s="60"/>
      <c r="AR193" s="60"/>
      <c r="AS193" s="60"/>
      <c r="AT193" s="60"/>
      <c r="AU193" s="60"/>
      <c r="AV193" s="64"/>
      <c r="AW193" s="55">
        <f t="shared" si="12"/>
        <v>450000000</v>
      </c>
      <c r="AX193" s="55">
        <f t="shared" si="13"/>
        <v>150000000</v>
      </c>
      <c r="AY193" s="55">
        <f t="shared" si="14"/>
        <v>158000000</v>
      </c>
      <c r="AZ193" s="55">
        <f t="shared" si="15"/>
        <v>266000000</v>
      </c>
      <c r="BA193" s="55">
        <f t="shared" si="16"/>
        <v>1024000000</v>
      </c>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row>
    <row r="194" spans="1:133" s="28" customFormat="1" ht="94.5" x14ac:dyDescent="0.25">
      <c r="A194" s="148" t="s">
        <v>28</v>
      </c>
      <c r="B194" s="56" t="s">
        <v>361</v>
      </c>
      <c r="C194" s="56" t="s">
        <v>435</v>
      </c>
      <c r="D194" s="116" t="s">
        <v>381</v>
      </c>
      <c r="E194" s="116">
        <v>324.5</v>
      </c>
      <c r="F194" s="116">
        <v>267.5</v>
      </c>
      <c r="G194" s="108" t="s">
        <v>436</v>
      </c>
      <c r="H194" s="108" t="s">
        <v>1330</v>
      </c>
      <c r="I194" s="108" t="s">
        <v>437</v>
      </c>
      <c r="J194" s="108" t="s">
        <v>1685</v>
      </c>
      <c r="K194" s="99">
        <v>1</v>
      </c>
      <c r="L194" s="178">
        <v>4</v>
      </c>
      <c r="M194" s="108" t="s">
        <v>337</v>
      </c>
      <c r="N194" s="100" t="s">
        <v>369</v>
      </c>
      <c r="O194" s="54" t="s">
        <v>360</v>
      </c>
      <c r="P194" s="74" t="s">
        <v>1677</v>
      </c>
      <c r="Q194" s="175" t="s">
        <v>1680</v>
      </c>
      <c r="R194" s="182">
        <v>0</v>
      </c>
      <c r="S194" s="178">
        <v>1</v>
      </c>
      <c r="T194" s="178">
        <v>1</v>
      </c>
      <c r="U194" s="183">
        <v>1</v>
      </c>
      <c r="V194" s="59"/>
      <c r="W194" s="60"/>
      <c r="X194" s="60"/>
      <c r="Y194" s="60"/>
      <c r="Z194" s="60"/>
      <c r="AA194" s="61"/>
      <c r="AB194" s="62">
        <v>500000000</v>
      </c>
      <c r="AC194" s="60"/>
      <c r="AD194" s="60"/>
      <c r="AE194" s="60"/>
      <c r="AF194" s="60"/>
      <c r="AG194" s="60"/>
      <c r="AH194" s="63"/>
      <c r="AI194" s="62">
        <v>525000000</v>
      </c>
      <c r="AJ194" s="60"/>
      <c r="AK194" s="60"/>
      <c r="AL194" s="60"/>
      <c r="AM194" s="60"/>
      <c r="AN194" s="60"/>
      <c r="AO194" s="63"/>
      <c r="AP194" s="62">
        <v>551000000</v>
      </c>
      <c r="AQ194" s="60"/>
      <c r="AR194" s="60"/>
      <c r="AS194" s="60"/>
      <c r="AT194" s="60"/>
      <c r="AU194" s="60"/>
      <c r="AV194" s="64"/>
      <c r="AW194" s="55">
        <f t="shared" si="12"/>
        <v>0</v>
      </c>
      <c r="AX194" s="55">
        <f t="shared" si="13"/>
        <v>500000000</v>
      </c>
      <c r="AY194" s="55">
        <f t="shared" si="14"/>
        <v>525000000</v>
      </c>
      <c r="AZ194" s="55">
        <f t="shared" si="15"/>
        <v>551000000</v>
      </c>
      <c r="BA194" s="55">
        <f t="shared" si="16"/>
        <v>1576000000</v>
      </c>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c r="CV194" s="27"/>
      <c r="CW194" s="27"/>
      <c r="CX194" s="27"/>
      <c r="CY194" s="27"/>
      <c r="CZ194" s="27"/>
      <c r="DA194" s="27"/>
      <c r="DB194" s="27"/>
      <c r="DC194" s="27"/>
      <c r="DD194" s="27"/>
      <c r="DE194" s="27"/>
      <c r="DF194" s="27"/>
      <c r="DG194" s="27"/>
      <c r="DH194" s="27"/>
      <c r="DI194" s="27"/>
      <c r="DJ194" s="27"/>
      <c r="DK194" s="27"/>
      <c r="DL194" s="27"/>
      <c r="DM194" s="27"/>
      <c r="DN194" s="27"/>
      <c r="DO194" s="27"/>
      <c r="DP194" s="27"/>
      <c r="DQ194" s="27"/>
      <c r="DR194" s="27"/>
      <c r="DS194" s="27"/>
      <c r="DT194" s="27"/>
      <c r="DU194" s="27"/>
      <c r="DV194" s="27"/>
      <c r="DW194" s="27"/>
      <c r="DX194" s="27"/>
      <c r="DY194" s="27"/>
      <c r="DZ194" s="27"/>
      <c r="EA194" s="27"/>
      <c r="EB194" s="27"/>
      <c r="EC194" s="27"/>
    </row>
    <row r="195" spans="1:133" s="16" customFormat="1" ht="94.5" x14ac:dyDescent="0.25">
      <c r="A195" s="148" t="s">
        <v>28</v>
      </c>
      <c r="B195" s="56" t="s">
        <v>361</v>
      </c>
      <c r="C195" s="56" t="s">
        <v>435</v>
      </c>
      <c r="D195" s="116" t="s">
        <v>381</v>
      </c>
      <c r="E195" s="116">
        <v>324.5</v>
      </c>
      <c r="F195" s="116">
        <v>267.5</v>
      </c>
      <c r="G195" s="146" t="s">
        <v>438</v>
      </c>
      <c r="H195" s="146" t="s">
        <v>1331</v>
      </c>
      <c r="I195" s="108" t="s">
        <v>439</v>
      </c>
      <c r="J195" s="108" t="s">
        <v>1685</v>
      </c>
      <c r="K195" s="99">
        <v>18</v>
      </c>
      <c r="L195" s="178">
        <v>20</v>
      </c>
      <c r="M195" s="108" t="s">
        <v>337</v>
      </c>
      <c r="N195" s="100" t="s">
        <v>369</v>
      </c>
      <c r="O195" s="54" t="s">
        <v>360</v>
      </c>
      <c r="P195" s="74" t="s">
        <v>39</v>
      </c>
      <c r="Q195" s="175" t="s">
        <v>1680</v>
      </c>
      <c r="R195" s="182">
        <v>2</v>
      </c>
      <c r="S195" s="178">
        <v>5</v>
      </c>
      <c r="T195" s="178">
        <v>5</v>
      </c>
      <c r="U195" s="183">
        <v>8</v>
      </c>
      <c r="V195" s="59">
        <v>100000000</v>
      </c>
      <c r="W195" s="60"/>
      <c r="X195" s="60"/>
      <c r="Y195" s="60"/>
      <c r="Z195" s="60"/>
      <c r="AA195" s="61"/>
      <c r="AB195" s="62">
        <v>150000000</v>
      </c>
      <c r="AC195" s="60"/>
      <c r="AD195" s="60"/>
      <c r="AE195" s="60"/>
      <c r="AF195" s="60"/>
      <c r="AG195" s="60"/>
      <c r="AH195" s="63"/>
      <c r="AI195" s="62">
        <f>315000000/2</f>
        <v>157500000</v>
      </c>
      <c r="AJ195" s="60"/>
      <c r="AK195" s="60"/>
      <c r="AL195" s="60"/>
      <c r="AM195" s="60"/>
      <c r="AN195" s="60"/>
      <c r="AO195" s="63"/>
      <c r="AP195" s="62">
        <f>331000000/2</f>
        <v>165500000</v>
      </c>
      <c r="AQ195" s="60"/>
      <c r="AR195" s="60"/>
      <c r="AS195" s="60"/>
      <c r="AT195" s="60"/>
      <c r="AU195" s="60"/>
      <c r="AV195" s="64"/>
      <c r="AW195" s="55">
        <f t="shared" si="12"/>
        <v>100000000</v>
      </c>
      <c r="AX195" s="55">
        <f t="shared" si="13"/>
        <v>150000000</v>
      </c>
      <c r="AY195" s="55">
        <f t="shared" si="14"/>
        <v>157500000</v>
      </c>
      <c r="AZ195" s="55">
        <f t="shared" si="15"/>
        <v>165500000</v>
      </c>
      <c r="BA195" s="55">
        <f t="shared" si="16"/>
        <v>573000000</v>
      </c>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row>
    <row r="196" spans="1:133" s="12" customFormat="1" ht="94.5" x14ac:dyDescent="0.25">
      <c r="A196" s="148" t="s">
        <v>28</v>
      </c>
      <c r="B196" s="56" t="s">
        <v>361</v>
      </c>
      <c r="C196" s="56" t="s">
        <v>435</v>
      </c>
      <c r="D196" s="116" t="s">
        <v>381</v>
      </c>
      <c r="E196" s="116">
        <v>324.5</v>
      </c>
      <c r="F196" s="116">
        <v>267.5</v>
      </c>
      <c r="G196" s="146" t="s">
        <v>438</v>
      </c>
      <c r="H196" s="146" t="s">
        <v>1332</v>
      </c>
      <c r="I196" s="108" t="s">
        <v>440</v>
      </c>
      <c r="J196" s="108" t="s">
        <v>1685</v>
      </c>
      <c r="K196" s="99">
        <v>100</v>
      </c>
      <c r="L196" s="178">
        <v>400</v>
      </c>
      <c r="M196" s="108" t="s">
        <v>337</v>
      </c>
      <c r="N196" s="100" t="s">
        <v>369</v>
      </c>
      <c r="O196" s="54" t="s">
        <v>360</v>
      </c>
      <c r="P196" s="74" t="s">
        <v>39</v>
      </c>
      <c r="Q196" s="175" t="s">
        <v>1680</v>
      </c>
      <c r="R196" s="182">
        <v>0</v>
      </c>
      <c r="S196" s="178">
        <v>100</v>
      </c>
      <c r="T196" s="178">
        <v>150</v>
      </c>
      <c r="U196" s="183">
        <v>150</v>
      </c>
      <c r="V196" s="59"/>
      <c r="W196" s="60"/>
      <c r="X196" s="60"/>
      <c r="Y196" s="60"/>
      <c r="Z196" s="60"/>
      <c r="AA196" s="61"/>
      <c r="AB196" s="62">
        <v>150000000</v>
      </c>
      <c r="AC196" s="60"/>
      <c r="AD196" s="60"/>
      <c r="AE196" s="60"/>
      <c r="AF196" s="60"/>
      <c r="AG196" s="60"/>
      <c r="AH196" s="63"/>
      <c r="AI196" s="62">
        <f>315000000/2</f>
        <v>157500000</v>
      </c>
      <c r="AJ196" s="60"/>
      <c r="AK196" s="60"/>
      <c r="AL196" s="60"/>
      <c r="AM196" s="60"/>
      <c r="AN196" s="60"/>
      <c r="AO196" s="63"/>
      <c r="AP196" s="62">
        <f>331000000/2</f>
        <v>165500000</v>
      </c>
      <c r="AQ196" s="60"/>
      <c r="AR196" s="60"/>
      <c r="AS196" s="60"/>
      <c r="AT196" s="60"/>
      <c r="AU196" s="60"/>
      <c r="AV196" s="64"/>
      <c r="AW196" s="55">
        <f t="shared" ref="AW196:AW259" si="17">SUM(V196:AA196)</f>
        <v>0</v>
      </c>
      <c r="AX196" s="55">
        <f t="shared" ref="AX196:AX259" si="18">SUM(AB196:AH196)</f>
        <v>150000000</v>
      </c>
      <c r="AY196" s="55">
        <f t="shared" ref="AY196:AY259" si="19">SUM(AI196:AO196)</f>
        <v>157500000</v>
      </c>
      <c r="AZ196" s="55">
        <f t="shared" ref="AZ196:AZ259" si="20">SUM(AP196:AV196)</f>
        <v>165500000</v>
      </c>
      <c r="BA196" s="55">
        <f t="shared" ref="BA196:BA259" si="21">SUM(AW196:AZ196)</f>
        <v>473000000</v>
      </c>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row>
    <row r="197" spans="1:133" s="16" customFormat="1" ht="94.5" x14ac:dyDescent="0.25">
      <c r="A197" s="148" t="s">
        <v>28</v>
      </c>
      <c r="B197" s="56" t="s">
        <v>361</v>
      </c>
      <c r="C197" s="56" t="s">
        <v>435</v>
      </c>
      <c r="D197" s="116" t="s">
        <v>381</v>
      </c>
      <c r="E197" s="116">
        <v>324.5</v>
      </c>
      <c r="F197" s="116">
        <v>267.5</v>
      </c>
      <c r="G197" s="108" t="s">
        <v>441</v>
      </c>
      <c r="H197" s="108" t="s">
        <v>1333</v>
      </c>
      <c r="I197" s="108" t="s">
        <v>442</v>
      </c>
      <c r="J197" s="108" t="s">
        <v>1685</v>
      </c>
      <c r="K197" s="99">
        <v>10</v>
      </c>
      <c r="L197" s="178">
        <v>34</v>
      </c>
      <c r="M197" s="108" t="s">
        <v>337</v>
      </c>
      <c r="N197" s="100" t="s">
        <v>369</v>
      </c>
      <c r="O197" s="54" t="s">
        <v>360</v>
      </c>
      <c r="P197" s="74" t="s">
        <v>39</v>
      </c>
      <c r="Q197" s="175" t="s">
        <v>1680</v>
      </c>
      <c r="R197" s="182">
        <v>4</v>
      </c>
      <c r="S197" s="178">
        <v>10</v>
      </c>
      <c r="T197" s="178">
        <v>10</v>
      </c>
      <c r="U197" s="183">
        <v>10</v>
      </c>
      <c r="V197" s="59">
        <v>120000000</v>
      </c>
      <c r="W197" s="60"/>
      <c r="X197" s="60"/>
      <c r="Y197" s="60"/>
      <c r="Z197" s="60"/>
      <c r="AA197" s="61"/>
      <c r="AB197" s="62">
        <v>150000000</v>
      </c>
      <c r="AC197" s="60"/>
      <c r="AD197" s="60"/>
      <c r="AE197" s="60"/>
      <c r="AF197" s="60"/>
      <c r="AG197" s="60"/>
      <c r="AH197" s="63"/>
      <c r="AI197" s="62">
        <v>158000000</v>
      </c>
      <c r="AJ197" s="60"/>
      <c r="AK197" s="60"/>
      <c r="AL197" s="60"/>
      <c r="AM197" s="60"/>
      <c r="AN197" s="60"/>
      <c r="AO197" s="63"/>
      <c r="AP197" s="62">
        <v>165000000</v>
      </c>
      <c r="AQ197" s="60"/>
      <c r="AR197" s="60"/>
      <c r="AS197" s="60"/>
      <c r="AT197" s="60"/>
      <c r="AU197" s="60"/>
      <c r="AV197" s="64"/>
      <c r="AW197" s="55">
        <f t="shared" si="17"/>
        <v>120000000</v>
      </c>
      <c r="AX197" s="55">
        <f t="shared" si="18"/>
        <v>150000000</v>
      </c>
      <c r="AY197" s="55">
        <f t="shared" si="19"/>
        <v>158000000</v>
      </c>
      <c r="AZ197" s="55">
        <f t="shared" si="20"/>
        <v>165000000</v>
      </c>
      <c r="BA197" s="55">
        <f t="shared" si="21"/>
        <v>593000000</v>
      </c>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row>
    <row r="198" spans="1:133" s="12" customFormat="1" ht="94.5" x14ac:dyDescent="0.25">
      <c r="A198" s="148" t="s">
        <v>28</v>
      </c>
      <c r="B198" s="56" t="s">
        <v>361</v>
      </c>
      <c r="C198" s="56" t="s">
        <v>435</v>
      </c>
      <c r="D198" s="116" t="s">
        <v>381</v>
      </c>
      <c r="E198" s="116">
        <v>324.5</v>
      </c>
      <c r="F198" s="116">
        <v>267.5</v>
      </c>
      <c r="G198" s="103" t="s">
        <v>443</v>
      </c>
      <c r="H198" s="103" t="s">
        <v>1334</v>
      </c>
      <c r="I198" s="108" t="s">
        <v>444</v>
      </c>
      <c r="J198" s="108" t="s">
        <v>1685</v>
      </c>
      <c r="K198" s="99">
        <v>2</v>
      </c>
      <c r="L198" s="178">
        <v>6</v>
      </c>
      <c r="M198" s="108" t="s">
        <v>337</v>
      </c>
      <c r="N198" s="100" t="s">
        <v>369</v>
      </c>
      <c r="O198" s="54" t="s">
        <v>360</v>
      </c>
      <c r="P198" s="74" t="s">
        <v>1677</v>
      </c>
      <c r="Q198" s="175" t="s">
        <v>1680</v>
      </c>
      <c r="R198" s="182">
        <v>0</v>
      </c>
      <c r="S198" s="178">
        <v>1</v>
      </c>
      <c r="T198" s="178">
        <v>1</v>
      </c>
      <c r="U198" s="183">
        <v>2</v>
      </c>
      <c r="V198" s="59"/>
      <c r="W198" s="60"/>
      <c r="X198" s="60"/>
      <c r="Y198" s="60"/>
      <c r="Z198" s="60"/>
      <c r="AA198" s="61"/>
      <c r="AB198" s="62">
        <v>600000000</v>
      </c>
      <c r="AC198" s="60"/>
      <c r="AD198" s="60"/>
      <c r="AE198" s="60"/>
      <c r="AF198" s="60"/>
      <c r="AG198" s="60"/>
      <c r="AH198" s="63"/>
      <c r="AI198" s="62">
        <v>630000000</v>
      </c>
      <c r="AJ198" s="60"/>
      <c r="AK198" s="60"/>
      <c r="AL198" s="60"/>
      <c r="AM198" s="60"/>
      <c r="AN198" s="60"/>
      <c r="AO198" s="63"/>
      <c r="AP198" s="62">
        <v>662000000</v>
      </c>
      <c r="AQ198" s="60"/>
      <c r="AR198" s="60"/>
      <c r="AS198" s="60"/>
      <c r="AT198" s="60"/>
      <c r="AU198" s="60"/>
      <c r="AV198" s="64"/>
      <c r="AW198" s="55">
        <f t="shared" si="17"/>
        <v>0</v>
      </c>
      <c r="AX198" s="55">
        <f t="shared" si="18"/>
        <v>600000000</v>
      </c>
      <c r="AY198" s="55">
        <f t="shared" si="19"/>
        <v>630000000</v>
      </c>
      <c r="AZ198" s="55">
        <f t="shared" si="20"/>
        <v>662000000</v>
      </c>
      <c r="BA198" s="55">
        <f t="shared" si="21"/>
        <v>1892000000</v>
      </c>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row>
    <row r="199" spans="1:133" s="16" customFormat="1" ht="126" x14ac:dyDescent="0.25">
      <c r="A199" s="148" t="s">
        <v>28</v>
      </c>
      <c r="B199" s="56" t="s">
        <v>361</v>
      </c>
      <c r="C199" s="56" t="s">
        <v>435</v>
      </c>
      <c r="D199" s="116" t="s">
        <v>381</v>
      </c>
      <c r="E199" s="116">
        <v>324.5</v>
      </c>
      <c r="F199" s="116">
        <v>267.5</v>
      </c>
      <c r="G199" s="56" t="s">
        <v>445</v>
      </c>
      <c r="H199" s="56" t="s">
        <v>1335</v>
      </c>
      <c r="I199" s="108" t="s">
        <v>446</v>
      </c>
      <c r="J199" s="108" t="s">
        <v>1685</v>
      </c>
      <c r="K199" s="99">
        <v>0</v>
      </c>
      <c r="L199" s="178">
        <v>14</v>
      </c>
      <c r="M199" s="108" t="s">
        <v>337</v>
      </c>
      <c r="N199" s="100" t="s">
        <v>369</v>
      </c>
      <c r="O199" s="54" t="s">
        <v>360</v>
      </c>
      <c r="P199" s="74" t="s">
        <v>39</v>
      </c>
      <c r="Q199" s="175" t="s">
        <v>1680</v>
      </c>
      <c r="R199" s="182">
        <v>0</v>
      </c>
      <c r="S199" s="178">
        <v>0</v>
      </c>
      <c r="T199" s="178">
        <v>8</v>
      </c>
      <c r="U199" s="183">
        <v>6</v>
      </c>
      <c r="V199" s="59"/>
      <c r="W199" s="60"/>
      <c r="X199" s="60"/>
      <c r="Y199" s="60"/>
      <c r="Z199" s="60"/>
      <c r="AA199" s="61"/>
      <c r="AB199" s="62"/>
      <c r="AC199" s="60"/>
      <c r="AD199" s="60"/>
      <c r="AE199" s="60"/>
      <c r="AF199" s="60"/>
      <c r="AG199" s="60"/>
      <c r="AH199" s="63"/>
      <c r="AI199" s="62">
        <f>1050000000/2</f>
        <v>525000000</v>
      </c>
      <c r="AJ199" s="60"/>
      <c r="AK199" s="60"/>
      <c r="AL199" s="60"/>
      <c r="AM199" s="60"/>
      <c r="AN199" s="60"/>
      <c r="AO199" s="63"/>
      <c r="AP199" s="62">
        <f>1103000000/2</f>
        <v>551500000</v>
      </c>
      <c r="AQ199" s="60"/>
      <c r="AR199" s="60"/>
      <c r="AS199" s="60"/>
      <c r="AT199" s="60"/>
      <c r="AU199" s="60"/>
      <c r="AV199" s="64"/>
      <c r="AW199" s="55">
        <f t="shared" si="17"/>
        <v>0</v>
      </c>
      <c r="AX199" s="55">
        <f t="shared" si="18"/>
        <v>0</v>
      </c>
      <c r="AY199" s="55">
        <f t="shared" si="19"/>
        <v>525000000</v>
      </c>
      <c r="AZ199" s="55">
        <f t="shared" si="20"/>
        <v>551500000</v>
      </c>
      <c r="BA199" s="55">
        <f t="shared" si="21"/>
        <v>1076500000</v>
      </c>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row>
    <row r="200" spans="1:133" s="12" customFormat="1" ht="126" x14ac:dyDescent="0.25">
      <c r="A200" s="148" t="s">
        <v>28</v>
      </c>
      <c r="B200" s="56" t="s">
        <v>361</v>
      </c>
      <c r="C200" s="56" t="s">
        <v>435</v>
      </c>
      <c r="D200" s="116" t="s">
        <v>381</v>
      </c>
      <c r="E200" s="116">
        <v>324.5</v>
      </c>
      <c r="F200" s="116">
        <v>267.5</v>
      </c>
      <c r="G200" s="56" t="s">
        <v>445</v>
      </c>
      <c r="H200" s="56" t="s">
        <v>1336</v>
      </c>
      <c r="I200" s="108" t="s">
        <v>447</v>
      </c>
      <c r="J200" s="108" t="s">
        <v>1685</v>
      </c>
      <c r="K200" s="99">
        <v>0</v>
      </c>
      <c r="L200" s="178">
        <v>40</v>
      </c>
      <c r="M200" s="108" t="s">
        <v>337</v>
      </c>
      <c r="N200" s="100" t="s">
        <v>369</v>
      </c>
      <c r="O200" s="54" t="s">
        <v>360</v>
      </c>
      <c r="P200" s="74" t="s">
        <v>39</v>
      </c>
      <c r="Q200" s="175" t="s">
        <v>1680</v>
      </c>
      <c r="R200" s="182">
        <v>0</v>
      </c>
      <c r="S200" s="178">
        <v>10</v>
      </c>
      <c r="T200" s="178">
        <v>15</v>
      </c>
      <c r="U200" s="183">
        <v>15</v>
      </c>
      <c r="V200" s="59"/>
      <c r="W200" s="60"/>
      <c r="X200" s="60"/>
      <c r="Y200" s="60"/>
      <c r="Z200" s="60"/>
      <c r="AA200" s="61"/>
      <c r="AB200" s="62">
        <v>1000000000</v>
      </c>
      <c r="AC200" s="60"/>
      <c r="AD200" s="60"/>
      <c r="AE200" s="60"/>
      <c r="AF200" s="60"/>
      <c r="AG200" s="60"/>
      <c r="AH200" s="63"/>
      <c r="AI200" s="62">
        <f>1050000000/2</f>
        <v>525000000</v>
      </c>
      <c r="AJ200" s="60"/>
      <c r="AK200" s="60"/>
      <c r="AL200" s="60"/>
      <c r="AM200" s="60"/>
      <c r="AN200" s="60"/>
      <c r="AO200" s="63"/>
      <c r="AP200" s="62">
        <f>1103000000/2</f>
        <v>551500000</v>
      </c>
      <c r="AQ200" s="60"/>
      <c r="AR200" s="60"/>
      <c r="AS200" s="60"/>
      <c r="AT200" s="60"/>
      <c r="AU200" s="60"/>
      <c r="AV200" s="64"/>
      <c r="AW200" s="55">
        <f t="shared" si="17"/>
        <v>0</v>
      </c>
      <c r="AX200" s="55">
        <f t="shared" si="18"/>
        <v>1000000000</v>
      </c>
      <c r="AY200" s="55">
        <f t="shared" si="19"/>
        <v>525000000</v>
      </c>
      <c r="AZ200" s="55">
        <f t="shared" si="20"/>
        <v>551500000</v>
      </c>
      <c r="BA200" s="55">
        <f t="shared" si="21"/>
        <v>2076500000</v>
      </c>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row>
    <row r="201" spans="1:133" s="29" customFormat="1" ht="94.5" x14ac:dyDescent="0.25">
      <c r="A201" s="148" t="s">
        <v>28</v>
      </c>
      <c r="B201" s="56" t="s">
        <v>361</v>
      </c>
      <c r="C201" s="56" t="s">
        <v>448</v>
      </c>
      <c r="D201" s="149" t="s">
        <v>449</v>
      </c>
      <c r="E201" s="150">
        <v>0.15</v>
      </c>
      <c r="F201" s="150">
        <v>0.1</v>
      </c>
      <c r="G201" s="56" t="s">
        <v>450</v>
      </c>
      <c r="H201" s="56" t="s">
        <v>1337</v>
      </c>
      <c r="I201" s="108" t="s">
        <v>451</v>
      </c>
      <c r="J201" s="108" t="s">
        <v>1685</v>
      </c>
      <c r="K201" s="99">
        <v>1</v>
      </c>
      <c r="L201" s="178">
        <v>1</v>
      </c>
      <c r="M201" s="108" t="s">
        <v>234</v>
      </c>
      <c r="N201" s="100" t="s">
        <v>369</v>
      </c>
      <c r="O201" s="54" t="s">
        <v>360</v>
      </c>
      <c r="P201" s="81" t="s">
        <v>42</v>
      </c>
      <c r="Q201" s="54" t="s">
        <v>1679</v>
      </c>
      <c r="R201" s="182">
        <v>1</v>
      </c>
      <c r="S201" s="178">
        <v>1</v>
      </c>
      <c r="T201" s="178">
        <v>1</v>
      </c>
      <c r="U201" s="183">
        <v>1</v>
      </c>
      <c r="V201" s="59">
        <v>50038100</v>
      </c>
      <c r="W201" s="60"/>
      <c r="X201" s="60"/>
      <c r="Y201" s="60"/>
      <c r="Z201" s="60"/>
      <c r="AA201" s="61"/>
      <c r="AB201" s="62">
        <v>208039624</v>
      </c>
      <c r="AC201" s="60">
        <f>+AB201/10</f>
        <v>20803962.399999999</v>
      </c>
      <c r="AD201" s="60"/>
      <c r="AE201" s="60"/>
      <c r="AF201" s="60"/>
      <c r="AG201" s="60"/>
      <c r="AH201" s="63"/>
      <c r="AI201" s="62">
        <v>229023620.69999999</v>
      </c>
      <c r="AJ201" s="60"/>
      <c r="AK201" s="60"/>
      <c r="AL201" s="60"/>
      <c r="AM201" s="60"/>
      <c r="AN201" s="60"/>
      <c r="AO201" s="63"/>
      <c r="AP201" s="62">
        <v>245055274.09999999</v>
      </c>
      <c r="AQ201" s="60"/>
      <c r="AR201" s="60"/>
      <c r="AS201" s="60"/>
      <c r="AT201" s="60"/>
      <c r="AU201" s="60"/>
      <c r="AV201" s="64"/>
      <c r="AW201" s="55">
        <f t="shared" si="17"/>
        <v>50038100</v>
      </c>
      <c r="AX201" s="55">
        <f t="shared" si="18"/>
        <v>228843586.40000001</v>
      </c>
      <c r="AY201" s="55">
        <f t="shared" si="19"/>
        <v>229023620.69999999</v>
      </c>
      <c r="AZ201" s="55">
        <f t="shared" si="20"/>
        <v>245055274.09999999</v>
      </c>
      <c r="BA201" s="55">
        <f t="shared" si="21"/>
        <v>752960581.19999993</v>
      </c>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row>
    <row r="202" spans="1:133" s="17" customFormat="1" ht="94.5" x14ac:dyDescent="0.25">
      <c r="A202" s="148" t="s">
        <v>28</v>
      </c>
      <c r="B202" s="56" t="s">
        <v>361</v>
      </c>
      <c r="C202" s="56" t="s">
        <v>448</v>
      </c>
      <c r="D202" s="149" t="s">
        <v>449</v>
      </c>
      <c r="E202" s="150">
        <v>0.15</v>
      </c>
      <c r="F202" s="150">
        <v>0.1</v>
      </c>
      <c r="G202" s="56" t="s">
        <v>450</v>
      </c>
      <c r="H202" s="56" t="s">
        <v>1338</v>
      </c>
      <c r="I202" s="108" t="s">
        <v>452</v>
      </c>
      <c r="J202" s="108" t="s">
        <v>1685</v>
      </c>
      <c r="K202" s="99">
        <v>4950</v>
      </c>
      <c r="L202" s="178">
        <v>90000</v>
      </c>
      <c r="M202" s="108" t="s">
        <v>234</v>
      </c>
      <c r="N202" s="100" t="s">
        <v>369</v>
      </c>
      <c r="O202" s="54" t="s">
        <v>360</v>
      </c>
      <c r="P202" s="81" t="s">
        <v>39</v>
      </c>
      <c r="Q202" s="174" t="s">
        <v>1680</v>
      </c>
      <c r="R202" s="182">
        <v>15000</v>
      </c>
      <c r="S202" s="178">
        <v>25000</v>
      </c>
      <c r="T202" s="178">
        <v>25000</v>
      </c>
      <c r="U202" s="183">
        <v>25000</v>
      </c>
      <c r="V202" s="59">
        <v>50038100</v>
      </c>
      <c r="W202" s="60"/>
      <c r="X202" s="60"/>
      <c r="Y202" s="60"/>
      <c r="Z202" s="60"/>
      <c r="AA202" s="61"/>
      <c r="AB202" s="62">
        <v>208039624</v>
      </c>
      <c r="AC202" s="60"/>
      <c r="AD202" s="60"/>
      <c r="AE202" s="60"/>
      <c r="AF202" s="60"/>
      <c r="AG202" s="60"/>
      <c r="AH202" s="63"/>
      <c r="AI202" s="62">
        <v>229023620.69999999</v>
      </c>
      <c r="AJ202" s="60"/>
      <c r="AK202" s="60"/>
      <c r="AL202" s="60"/>
      <c r="AM202" s="60"/>
      <c r="AN202" s="60"/>
      <c r="AO202" s="63"/>
      <c r="AP202" s="62">
        <v>245055274.09999999</v>
      </c>
      <c r="AQ202" s="60"/>
      <c r="AR202" s="60"/>
      <c r="AS202" s="60"/>
      <c r="AT202" s="60"/>
      <c r="AU202" s="60"/>
      <c r="AV202" s="64"/>
      <c r="AW202" s="55">
        <f t="shared" si="17"/>
        <v>50038100</v>
      </c>
      <c r="AX202" s="55">
        <f t="shared" si="18"/>
        <v>208039624</v>
      </c>
      <c r="AY202" s="55">
        <f t="shared" si="19"/>
        <v>229023620.69999999</v>
      </c>
      <c r="AZ202" s="55">
        <f t="shared" si="20"/>
        <v>245055274.09999999</v>
      </c>
      <c r="BA202" s="55">
        <f t="shared" si="21"/>
        <v>732156618.79999995</v>
      </c>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row>
    <row r="203" spans="1:133" s="20" customFormat="1" ht="94.5" x14ac:dyDescent="0.25">
      <c r="A203" s="148" t="s">
        <v>28</v>
      </c>
      <c r="B203" s="56" t="s">
        <v>361</v>
      </c>
      <c r="C203" s="56" t="s">
        <v>448</v>
      </c>
      <c r="D203" s="149" t="s">
        <v>449</v>
      </c>
      <c r="E203" s="150">
        <v>0.15</v>
      </c>
      <c r="F203" s="150">
        <v>0.1</v>
      </c>
      <c r="G203" s="56" t="s">
        <v>450</v>
      </c>
      <c r="H203" s="56" t="s">
        <v>1339</v>
      </c>
      <c r="I203" s="108" t="s">
        <v>453</v>
      </c>
      <c r="J203" s="108" t="s">
        <v>1683</v>
      </c>
      <c r="K203" s="99">
        <v>1</v>
      </c>
      <c r="L203" s="178">
        <v>2</v>
      </c>
      <c r="M203" s="108" t="s">
        <v>234</v>
      </c>
      <c r="N203" s="100" t="s">
        <v>369</v>
      </c>
      <c r="O203" s="54" t="s">
        <v>360</v>
      </c>
      <c r="P203" s="74" t="s">
        <v>42</v>
      </c>
      <c r="Q203" s="54" t="s">
        <v>1679</v>
      </c>
      <c r="R203" s="182">
        <v>2</v>
      </c>
      <c r="S203" s="178">
        <v>2</v>
      </c>
      <c r="T203" s="178">
        <v>2</v>
      </c>
      <c r="U203" s="183">
        <v>2</v>
      </c>
      <c r="V203" s="59">
        <v>50038100</v>
      </c>
      <c r="W203" s="60"/>
      <c r="X203" s="60"/>
      <c r="Y203" s="60"/>
      <c r="Z203" s="60"/>
      <c r="AA203" s="61"/>
      <c r="AB203" s="62">
        <v>208039624</v>
      </c>
      <c r="AC203" s="60"/>
      <c r="AD203" s="60"/>
      <c r="AE203" s="60"/>
      <c r="AF203" s="60"/>
      <c r="AG203" s="60"/>
      <c r="AH203" s="63"/>
      <c r="AI203" s="62">
        <v>229023620.69999999</v>
      </c>
      <c r="AJ203" s="60"/>
      <c r="AK203" s="60"/>
      <c r="AL203" s="60"/>
      <c r="AM203" s="60"/>
      <c r="AN203" s="60"/>
      <c r="AO203" s="63"/>
      <c r="AP203" s="62">
        <v>245055274.09999999</v>
      </c>
      <c r="AQ203" s="60"/>
      <c r="AR203" s="60"/>
      <c r="AS203" s="60"/>
      <c r="AT203" s="60"/>
      <c r="AU203" s="60"/>
      <c r="AV203" s="64"/>
      <c r="AW203" s="55">
        <f t="shared" si="17"/>
        <v>50038100</v>
      </c>
      <c r="AX203" s="55">
        <f t="shared" si="18"/>
        <v>208039624</v>
      </c>
      <c r="AY203" s="55">
        <f t="shared" si="19"/>
        <v>229023620.69999999</v>
      </c>
      <c r="AZ203" s="55">
        <f t="shared" si="20"/>
        <v>245055274.09999999</v>
      </c>
      <c r="BA203" s="55">
        <f t="shared" si="21"/>
        <v>732156618.79999995</v>
      </c>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row>
    <row r="204" spans="1:133" s="8" customFormat="1" ht="94.5" x14ac:dyDescent="0.25">
      <c r="A204" s="148" t="s">
        <v>28</v>
      </c>
      <c r="B204" s="56" t="s">
        <v>361</v>
      </c>
      <c r="C204" s="56" t="s">
        <v>448</v>
      </c>
      <c r="D204" s="149" t="s">
        <v>449</v>
      </c>
      <c r="E204" s="150">
        <v>0.15</v>
      </c>
      <c r="F204" s="150">
        <v>0.1</v>
      </c>
      <c r="G204" s="56" t="s">
        <v>450</v>
      </c>
      <c r="H204" s="56" t="s">
        <v>1340</v>
      </c>
      <c r="I204" s="108" t="s">
        <v>454</v>
      </c>
      <c r="J204" s="108" t="s">
        <v>1683</v>
      </c>
      <c r="K204" s="99">
        <v>12</v>
      </c>
      <c r="L204" s="178">
        <v>12</v>
      </c>
      <c r="M204" s="108" t="s">
        <v>234</v>
      </c>
      <c r="N204" s="100" t="s">
        <v>369</v>
      </c>
      <c r="O204" s="54" t="s">
        <v>360</v>
      </c>
      <c r="P204" s="74" t="s">
        <v>42</v>
      </c>
      <c r="Q204" s="54" t="s">
        <v>1679</v>
      </c>
      <c r="R204" s="182">
        <v>3</v>
      </c>
      <c r="S204" s="178">
        <v>3</v>
      </c>
      <c r="T204" s="178">
        <v>3</v>
      </c>
      <c r="U204" s="183">
        <v>3</v>
      </c>
      <c r="V204" s="59">
        <v>50038100</v>
      </c>
      <c r="W204" s="60"/>
      <c r="X204" s="60"/>
      <c r="Y204" s="60"/>
      <c r="Z204" s="60"/>
      <c r="AA204" s="61"/>
      <c r="AB204" s="62">
        <v>208039624</v>
      </c>
      <c r="AC204" s="60"/>
      <c r="AD204" s="60"/>
      <c r="AE204" s="60"/>
      <c r="AF204" s="60"/>
      <c r="AG204" s="60"/>
      <c r="AH204" s="63"/>
      <c r="AI204" s="62">
        <v>229023620.69999999</v>
      </c>
      <c r="AJ204" s="60"/>
      <c r="AK204" s="60"/>
      <c r="AL204" s="60"/>
      <c r="AM204" s="60"/>
      <c r="AN204" s="60"/>
      <c r="AO204" s="63"/>
      <c r="AP204" s="62">
        <v>245055274.09999999</v>
      </c>
      <c r="AQ204" s="60"/>
      <c r="AR204" s="60"/>
      <c r="AS204" s="60"/>
      <c r="AT204" s="60"/>
      <c r="AU204" s="60"/>
      <c r="AV204" s="64"/>
      <c r="AW204" s="55">
        <f t="shared" si="17"/>
        <v>50038100</v>
      </c>
      <c r="AX204" s="55">
        <f t="shared" si="18"/>
        <v>208039624</v>
      </c>
      <c r="AY204" s="55">
        <f t="shared" si="19"/>
        <v>229023620.69999999</v>
      </c>
      <c r="AZ204" s="55">
        <f t="shared" si="20"/>
        <v>245055274.09999999</v>
      </c>
      <c r="BA204" s="55">
        <f t="shared" si="21"/>
        <v>732156618.79999995</v>
      </c>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row>
    <row r="205" spans="1:133" s="8" customFormat="1" ht="94.5" x14ac:dyDescent="0.25">
      <c r="A205" s="148" t="s">
        <v>28</v>
      </c>
      <c r="B205" s="56" t="s">
        <v>361</v>
      </c>
      <c r="C205" s="56" t="s">
        <v>448</v>
      </c>
      <c r="D205" s="149" t="s">
        <v>449</v>
      </c>
      <c r="E205" s="150">
        <v>0.15</v>
      </c>
      <c r="F205" s="150">
        <v>0.1</v>
      </c>
      <c r="G205" s="56" t="s">
        <v>450</v>
      </c>
      <c r="H205" s="56" t="s">
        <v>1341</v>
      </c>
      <c r="I205" s="108" t="s">
        <v>455</v>
      </c>
      <c r="J205" s="108" t="s">
        <v>1683</v>
      </c>
      <c r="K205" s="99">
        <v>1</v>
      </c>
      <c r="L205" s="178">
        <v>2</v>
      </c>
      <c r="M205" s="108" t="s">
        <v>234</v>
      </c>
      <c r="N205" s="100" t="s">
        <v>369</v>
      </c>
      <c r="O205" s="54" t="s">
        <v>360</v>
      </c>
      <c r="P205" s="74" t="s">
        <v>42</v>
      </c>
      <c r="Q205" s="54" t="s">
        <v>1679</v>
      </c>
      <c r="R205" s="182">
        <v>2</v>
      </c>
      <c r="S205" s="178">
        <v>2</v>
      </c>
      <c r="T205" s="178">
        <v>2</v>
      </c>
      <c r="U205" s="183">
        <v>2</v>
      </c>
      <c r="V205" s="59">
        <v>50038100</v>
      </c>
      <c r="W205" s="60"/>
      <c r="X205" s="60"/>
      <c r="Y205" s="60"/>
      <c r="Z205" s="60"/>
      <c r="AA205" s="61"/>
      <c r="AB205" s="62">
        <v>208039624</v>
      </c>
      <c r="AC205" s="60"/>
      <c r="AD205" s="60"/>
      <c r="AE205" s="60"/>
      <c r="AF205" s="60"/>
      <c r="AG205" s="60"/>
      <c r="AH205" s="63"/>
      <c r="AI205" s="62">
        <v>229023620.69999999</v>
      </c>
      <c r="AJ205" s="60"/>
      <c r="AK205" s="60"/>
      <c r="AL205" s="60"/>
      <c r="AM205" s="60"/>
      <c r="AN205" s="60"/>
      <c r="AO205" s="63"/>
      <c r="AP205" s="62">
        <v>245055274.09999999</v>
      </c>
      <c r="AQ205" s="60"/>
      <c r="AR205" s="60"/>
      <c r="AS205" s="60"/>
      <c r="AT205" s="60"/>
      <c r="AU205" s="60"/>
      <c r="AV205" s="64"/>
      <c r="AW205" s="55">
        <f t="shared" si="17"/>
        <v>50038100</v>
      </c>
      <c r="AX205" s="55">
        <f t="shared" si="18"/>
        <v>208039624</v>
      </c>
      <c r="AY205" s="55">
        <f t="shared" si="19"/>
        <v>229023620.69999999</v>
      </c>
      <c r="AZ205" s="55">
        <f t="shared" si="20"/>
        <v>245055274.09999999</v>
      </c>
      <c r="BA205" s="55">
        <f t="shared" si="21"/>
        <v>732156618.79999995</v>
      </c>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row>
    <row r="206" spans="1:133" s="8" customFormat="1" ht="126" x14ac:dyDescent="0.25">
      <c r="A206" s="148" t="s">
        <v>28</v>
      </c>
      <c r="B206" s="56" t="s">
        <v>361</v>
      </c>
      <c r="C206" s="56" t="s">
        <v>448</v>
      </c>
      <c r="D206" s="149" t="s">
        <v>449</v>
      </c>
      <c r="E206" s="150">
        <v>0.15</v>
      </c>
      <c r="F206" s="150">
        <v>0.1</v>
      </c>
      <c r="G206" s="56" t="s">
        <v>456</v>
      </c>
      <c r="H206" s="56" t="s">
        <v>1342</v>
      </c>
      <c r="I206" s="108" t="s">
        <v>457</v>
      </c>
      <c r="J206" s="108" t="s">
        <v>1683</v>
      </c>
      <c r="K206" s="99">
        <v>71</v>
      </c>
      <c r="L206" s="178">
        <v>120</v>
      </c>
      <c r="M206" s="108" t="s">
        <v>234</v>
      </c>
      <c r="N206" s="100" t="s">
        <v>369</v>
      </c>
      <c r="O206" s="54" t="s">
        <v>360</v>
      </c>
      <c r="P206" s="74" t="s">
        <v>39</v>
      </c>
      <c r="Q206" s="175" t="s">
        <v>1680</v>
      </c>
      <c r="R206" s="182">
        <v>30</v>
      </c>
      <c r="S206" s="178">
        <v>30</v>
      </c>
      <c r="T206" s="178">
        <v>30</v>
      </c>
      <c r="U206" s="183">
        <v>30</v>
      </c>
      <c r="V206" s="59">
        <v>50038100</v>
      </c>
      <c r="W206" s="60"/>
      <c r="X206" s="60"/>
      <c r="Y206" s="60"/>
      <c r="Z206" s="60"/>
      <c r="AA206" s="61"/>
      <c r="AB206" s="62">
        <v>208039624</v>
      </c>
      <c r="AC206" s="60"/>
      <c r="AD206" s="60"/>
      <c r="AE206" s="60"/>
      <c r="AF206" s="60"/>
      <c r="AG206" s="60"/>
      <c r="AH206" s="63"/>
      <c r="AI206" s="62">
        <v>229023620.69999999</v>
      </c>
      <c r="AJ206" s="60"/>
      <c r="AK206" s="60"/>
      <c r="AL206" s="60"/>
      <c r="AM206" s="60"/>
      <c r="AN206" s="60"/>
      <c r="AO206" s="63"/>
      <c r="AP206" s="62">
        <v>245055274.09999999</v>
      </c>
      <c r="AQ206" s="60"/>
      <c r="AR206" s="60"/>
      <c r="AS206" s="60"/>
      <c r="AT206" s="60"/>
      <c r="AU206" s="60"/>
      <c r="AV206" s="64"/>
      <c r="AW206" s="55">
        <f t="shared" si="17"/>
        <v>50038100</v>
      </c>
      <c r="AX206" s="55">
        <f t="shared" si="18"/>
        <v>208039624</v>
      </c>
      <c r="AY206" s="55">
        <f t="shared" si="19"/>
        <v>229023620.69999999</v>
      </c>
      <c r="AZ206" s="55">
        <f t="shared" si="20"/>
        <v>245055274.09999999</v>
      </c>
      <c r="BA206" s="55">
        <f t="shared" si="21"/>
        <v>732156618.79999995</v>
      </c>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row>
    <row r="207" spans="1:133" s="2" customFormat="1" ht="94.5" x14ac:dyDescent="0.25">
      <c r="A207" s="148" t="s">
        <v>28</v>
      </c>
      <c r="B207" s="56" t="s">
        <v>361</v>
      </c>
      <c r="C207" s="56" t="s">
        <v>448</v>
      </c>
      <c r="D207" s="149" t="s">
        <v>449</v>
      </c>
      <c r="E207" s="150">
        <v>0.15</v>
      </c>
      <c r="F207" s="150">
        <v>0.1</v>
      </c>
      <c r="G207" s="56" t="s">
        <v>456</v>
      </c>
      <c r="H207" s="56" t="s">
        <v>1343</v>
      </c>
      <c r="I207" s="108" t="s">
        <v>458</v>
      </c>
      <c r="J207" s="108" t="s">
        <v>1683</v>
      </c>
      <c r="K207" s="99">
        <v>0</v>
      </c>
      <c r="L207" s="178">
        <v>60</v>
      </c>
      <c r="M207" s="108" t="s">
        <v>234</v>
      </c>
      <c r="N207" s="100" t="s">
        <v>369</v>
      </c>
      <c r="O207" s="54" t="s">
        <v>360</v>
      </c>
      <c r="P207" s="74" t="s">
        <v>39</v>
      </c>
      <c r="Q207" s="175" t="s">
        <v>1680</v>
      </c>
      <c r="R207" s="182">
        <v>15</v>
      </c>
      <c r="S207" s="178">
        <v>15</v>
      </c>
      <c r="T207" s="178">
        <v>15</v>
      </c>
      <c r="U207" s="183">
        <v>15</v>
      </c>
      <c r="V207" s="59">
        <v>50038100</v>
      </c>
      <c r="W207" s="60"/>
      <c r="X207" s="60"/>
      <c r="Y207" s="60"/>
      <c r="Z207" s="60"/>
      <c r="AA207" s="61"/>
      <c r="AB207" s="62">
        <v>208039624</v>
      </c>
      <c r="AC207" s="60"/>
      <c r="AD207" s="60"/>
      <c r="AE207" s="60"/>
      <c r="AF207" s="60"/>
      <c r="AG207" s="60"/>
      <c r="AH207" s="63"/>
      <c r="AI207" s="62">
        <v>229023620.69999999</v>
      </c>
      <c r="AJ207" s="60"/>
      <c r="AK207" s="60"/>
      <c r="AL207" s="60"/>
      <c r="AM207" s="60"/>
      <c r="AN207" s="60"/>
      <c r="AO207" s="63"/>
      <c r="AP207" s="62">
        <v>245055274.09999999</v>
      </c>
      <c r="AQ207" s="60"/>
      <c r="AR207" s="60"/>
      <c r="AS207" s="60"/>
      <c r="AT207" s="60"/>
      <c r="AU207" s="60"/>
      <c r="AV207" s="64"/>
      <c r="AW207" s="55">
        <f t="shared" si="17"/>
        <v>50038100</v>
      </c>
      <c r="AX207" s="55">
        <f t="shared" si="18"/>
        <v>208039624</v>
      </c>
      <c r="AY207" s="55">
        <f t="shared" si="19"/>
        <v>229023620.69999999</v>
      </c>
      <c r="AZ207" s="55">
        <f t="shared" si="20"/>
        <v>245055274.09999999</v>
      </c>
      <c r="BA207" s="55">
        <f t="shared" si="21"/>
        <v>732156618.79999995</v>
      </c>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c r="CV207" s="27"/>
      <c r="CW207" s="27"/>
      <c r="CX207" s="27"/>
      <c r="CY207" s="27"/>
      <c r="CZ207" s="27"/>
      <c r="DA207" s="27"/>
      <c r="DB207" s="27"/>
      <c r="DC207" s="27"/>
      <c r="DD207" s="27"/>
      <c r="DE207" s="27"/>
      <c r="DF207" s="27"/>
      <c r="DG207" s="27"/>
      <c r="DH207" s="27"/>
      <c r="DI207" s="27"/>
      <c r="DJ207" s="27"/>
      <c r="DK207" s="27"/>
      <c r="DL207" s="27"/>
      <c r="DM207" s="27"/>
      <c r="DN207" s="27"/>
      <c r="DO207" s="27"/>
      <c r="DP207" s="27"/>
      <c r="DQ207" s="27"/>
      <c r="DR207" s="27"/>
      <c r="DS207" s="27"/>
      <c r="DT207" s="27"/>
      <c r="DU207" s="27"/>
      <c r="DV207" s="27"/>
      <c r="DW207" s="27"/>
      <c r="DX207" s="27"/>
      <c r="DY207" s="27"/>
      <c r="DZ207" s="27"/>
      <c r="EA207" s="27"/>
      <c r="EB207" s="27"/>
      <c r="EC207" s="27"/>
    </row>
    <row r="208" spans="1:133" s="17" customFormat="1" ht="110.25" x14ac:dyDescent="0.25">
      <c r="A208" s="148" t="s">
        <v>28</v>
      </c>
      <c r="B208" s="56" t="s">
        <v>361</v>
      </c>
      <c r="C208" s="56" t="s">
        <v>448</v>
      </c>
      <c r="D208" s="149" t="s">
        <v>449</v>
      </c>
      <c r="E208" s="150">
        <v>0.15</v>
      </c>
      <c r="F208" s="150">
        <v>0.1</v>
      </c>
      <c r="G208" s="56" t="s">
        <v>456</v>
      </c>
      <c r="H208" s="56" t="s">
        <v>1344</v>
      </c>
      <c r="I208" s="108" t="s">
        <v>459</v>
      </c>
      <c r="J208" s="108" t="s">
        <v>1682</v>
      </c>
      <c r="K208" s="178">
        <v>100</v>
      </c>
      <c r="L208" s="179">
        <v>100</v>
      </c>
      <c r="M208" s="108" t="s">
        <v>234</v>
      </c>
      <c r="N208" s="100" t="s">
        <v>369</v>
      </c>
      <c r="O208" s="54" t="s">
        <v>360</v>
      </c>
      <c r="P208" s="81" t="s">
        <v>42</v>
      </c>
      <c r="Q208" s="54" t="s">
        <v>1679</v>
      </c>
      <c r="R208" s="182">
        <v>100</v>
      </c>
      <c r="S208" s="178">
        <v>100</v>
      </c>
      <c r="T208" s="178">
        <v>100</v>
      </c>
      <c r="U208" s="183">
        <v>100</v>
      </c>
      <c r="V208" s="59">
        <v>50038100</v>
      </c>
      <c r="W208" s="60"/>
      <c r="X208" s="60"/>
      <c r="Y208" s="60"/>
      <c r="Z208" s="60"/>
      <c r="AA208" s="61"/>
      <c r="AB208" s="62">
        <v>208039624</v>
      </c>
      <c r="AC208" s="60"/>
      <c r="AD208" s="60"/>
      <c r="AE208" s="60"/>
      <c r="AF208" s="60"/>
      <c r="AG208" s="60"/>
      <c r="AH208" s="63"/>
      <c r="AI208" s="62">
        <v>229023620.69999999</v>
      </c>
      <c r="AJ208" s="60"/>
      <c r="AK208" s="60"/>
      <c r="AL208" s="60"/>
      <c r="AM208" s="60"/>
      <c r="AN208" s="60"/>
      <c r="AO208" s="63"/>
      <c r="AP208" s="62">
        <v>245055274.09999999</v>
      </c>
      <c r="AQ208" s="60"/>
      <c r="AR208" s="60"/>
      <c r="AS208" s="60"/>
      <c r="AT208" s="60"/>
      <c r="AU208" s="60"/>
      <c r="AV208" s="64"/>
      <c r="AW208" s="55">
        <f t="shared" si="17"/>
        <v>50038100</v>
      </c>
      <c r="AX208" s="55">
        <f t="shared" si="18"/>
        <v>208039624</v>
      </c>
      <c r="AY208" s="55">
        <f t="shared" si="19"/>
        <v>229023620.69999999</v>
      </c>
      <c r="AZ208" s="55">
        <f t="shared" si="20"/>
        <v>245055274.09999999</v>
      </c>
      <c r="BA208" s="55">
        <f t="shared" si="21"/>
        <v>732156618.79999995</v>
      </c>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row>
    <row r="209" spans="1:133" s="20" customFormat="1" ht="94.5" x14ac:dyDescent="0.25">
      <c r="A209" s="148" t="s">
        <v>28</v>
      </c>
      <c r="B209" s="56" t="s">
        <v>361</v>
      </c>
      <c r="C209" s="56" t="s">
        <v>448</v>
      </c>
      <c r="D209" s="149" t="s">
        <v>449</v>
      </c>
      <c r="E209" s="150">
        <v>0.15</v>
      </c>
      <c r="F209" s="150">
        <v>0.1</v>
      </c>
      <c r="G209" s="56" t="s">
        <v>456</v>
      </c>
      <c r="H209" s="56" t="s">
        <v>1345</v>
      </c>
      <c r="I209" s="108" t="s">
        <v>460</v>
      </c>
      <c r="J209" s="108" t="s">
        <v>1685</v>
      </c>
      <c r="K209" s="99">
        <v>253</v>
      </c>
      <c r="L209" s="178">
        <v>300</v>
      </c>
      <c r="M209" s="108" t="s">
        <v>234</v>
      </c>
      <c r="N209" s="100" t="s">
        <v>369</v>
      </c>
      <c r="O209" s="54" t="s">
        <v>360</v>
      </c>
      <c r="P209" s="74" t="s">
        <v>39</v>
      </c>
      <c r="Q209" s="175" t="s">
        <v>1680</v>
      </c>
      <c r="R209" s="182">
        <v>60</v>
      </c>
      <c r="S209" s="178">
        <v>80</v>
      </c>
      <c r="T209" s="178">
        <v>80</v>
      </c>
      <c r="U209" s="183">
        <v>80</v>
      </c>
      <c r="V209" s="59">
        <v>50038100</v>
      </c>
      <c r="W209" s="60"/>
      <c r="X209" s="60"/>
      <c r="Y209" s="60"/>
      <c r="Z209" s="60"/>
      <c r="AA209" s="61"/>
      <c r="AB209" s="62">
        <v>208039624</v>
      </c>
      <c r="AC209" s="60"/>
      <c r="AD209" s="60"/>
      <c r="AE209" s="60"/>
      <c r="AF209" s="60"/>
      <c r="AG209" s="60"/>
      <c r="AH209" s="63"/>
      <c r="AI209" s="62">
        <v>229023620.69999999</v>
      </c>
      <c r="AJ209" s="60"/>
      <c r="AK209" s="60"/>
      <c r="AL209" s="60"/>
      <c r="AM209" s="60"/>
      <c r="AN209" s="60"/>
      <c r="AO209" s="63"/>
      <c r="AP209" s="62">
        <v>245055274.09999999</v>
      </c>
      <c r="AQ209" s="60"/>
      <c r="AR209" s="60"/>
      <c r="AS209" s="60"/>
      <c r="AT209" s="60"/>
      <c r="AU209" s="60"/>
      <c r="AV209" s="64"/>
      <c r="AW209" s="55">
        <f t="shared" si="17"/>
        <v>50038100</v>
      </c>
      <c r="AX209" s="55">
        <f t="shared" si="18"/>
        <v>208039624</v>
      </c>
      <c r="AY209" s="55">
        <f t="shared" si="19"/>
        <v>229023620.69999999</v>
      </c>
      <c r="AZ209" s="55">
        <f t="shared" si="20"/>
        <v>245055274.09999999</v>
      </c>
      <c r="BA209" s="55">
        <f t="shared" si="21"/>
        <v>732156618.79999995</v>
      </c>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row>
    <row r="210" spans="1:133" s="8" customFormat="1" ht="126" x14ac:dyDescent="0.25">
      <c r="A210" s="148" t="s">
        <v>28</v>
      </c>
      <c r="B210" s="56" t="s">
        <v>361</v>
      </c>
      <c r="C210" s="56" t="s">
        <v>448</v>
      </c>
      <c r="D210" s="149" t="s">
        <v>449</v>
      </c>
      <c r="E210" s="150">
        <v>0.15</v>
      </c>
      <c r="F210" s="150">
        <v>0.1</v>
      </c>
      <c r="G210" s="56" t="s">
        <v>456</v>
      </c>
      <c r="H210" s="56" t="s">
        <v>1346</v>
      </c>
      <c r="I210" s="108" t="s">
        <v>461</v>
      </c>
      <c r="J210" s="108" t="s">
        <v>1683</v>
      </c>
      <c r="K210" s="99">
        <v>4</v>
      </c>
      <c r="L210" s="178">
        <v>4</v>
      </c>
      <c r="M210" s="108" t="s">
        <v>234</v>
      </c>
      <c r="N210" s="100" t="s">
        <v>369</v>
      </c>
      <c r="O210" s="54" t="s">
        <v>360</v>
      </c>
      <c r="P210" s="74" t="s">
        <v>42</v>
      </c>
      <c r="Q210" s="54" t="s">
        <v>1679</v>
      </c>
      <c r="R210" s="182">
        <v>4</v>
      </c>
      <c r="S210" s="178">
        <v>4</v>
      </c>
      <c r="T210" s="178">
        <v>4</v>
      </c>
      <c r="U210" s="183">
        <v>4</v>
      </c>
      <c r="V210" s="59">
        <v>50038100</v>
      </c>
      <c r="W210" s="60"/>
      <c r="X210" s="60"/>
      <c r="Y210" s="60"/>
      <c r="Z210" s="60"/>
      <c r="AA210" s="61"/>
      <c r="AB210" s="62">
        <v>208039624</v>
      </c>
      <c r="AC210" s="60"/>
      <c r="AD210" s="60"/>
      <c r="AE210" s="60"/>
      <c r="AF210" s="60"/>
      <c r="AG210" s="60"/>
      <c r="AH210" s="63"/>
      <c r="AI210" s="62">
        <v>229023620.69999999</v>
      </c>
      <c r="AJ210" s="60"/>
      <c r="AK210" s="60"/>
      <c r="AL210" s="60"/>
      <c r="AM210" s="60"/>
      <c r="AN210" s="60"/>
      <c r="AO210" s="63"/>
      <c r="AP210" s="62">
        <v>245055274.09999999</v>
      </c>
      <c r="AQ210" s="60"/>
      <c r="AR210" s="60"/>
      <c r="AS210" s="60"/>
      <c r="AT210" s="60"/>
      <c r="AU210" s="60"/>
      <c r="AV210" s="64"/>
      <c r="AW210" s="55">
        <f t="shared" si="17"/>
        <v>50038100</v>
      </c>
      <c r="AX210" s="55">
        <f t="shared" si="18"/>
        <v>208039624</v>
      </c>
      <c r="AY210" s="55">
        <f t="shared" si="19"/>
        <v>229023620.69999999</v>
      </c>
      <c r="AZ210" s="55">
        <f t="shared" si="20"/>
        <v>245055274.09999999</v>
      </c>
      <c r="BA210" s="55">
        <f t="shared" si="21"/>
        <v>732156618.79999995</v>
      </c>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row>
    <row r="211" spans="1:133" s="8" customFormat="1" ht="94.5" x14ac:dyDescent="0.25">
      <c r="A211" s="148" t="s">
        <v>28</v>
      </c>
      <c r="B211" s="56" t="s">
        <v>361</v>
      </c>
      <c r="C211" s="56" t="s">
        <v>448</v>
      </c>
      <c r="D211" s="149" t="s">
        <v>449</v>
      </c>
      <c r="E211" s="150">
        <v>0.15</v>
      </c>
      <c r="F211" s="150">
        <v>0.1</v>
      </c>
      <c r="G211" s="56" t="s">
        <v>462</v>
      </c>
      <c r="H211" s="56" t="s">
        <v>1347</v>
      </c>
      <c r="I211" s="108" t="s">
        <v>463</v>
      </c>
      <c r="J211" s="108" t="s">
        <v>1683</v>
      </c>
      <c r="K211" s="99">
        <v>1</v>
      </c>
      <c r="L211" s="178">
        <v>2</v>
      </c>
      <c r="M211" s="108" t="s">
        <v>234</v>
      </c>
      <c r="N211" s="100" t="s">
        <v>369</v>
      </c>
      <c r="O211" s="54" t="s">
        <v>360</v>
      </c>
      <c r="P211" s="74" t="s">
        <v>254</v>
      </c>
      <c r="Q211" s="54" t="s">
        <v>1679</v>
      </c>
      <c r="R211" s="182">
        <v>2</v>
      </c>
      <c r="S211" s="178">
        <v>2</v>
      </c>
      <c r="T211" s="178">
        <v>2</v>
      </c>
      <c r="U211" s="183">
        <v>2</v>
      </c>
      <c r="V211" s="59">
        <v>61750000</v>
      </c>
      <c r="W211" s="60"/>
      <c r="X211" s="60"/>
      <c r="Y211" s="60"/>
      <c r="Z211" s="60"/>
      <c r="AA211" s="61"/>
      <c r="AB211" s="62">
        <v>480220000</v>
      </c>
      <c r="AC211" s="60"/>
      <c r="AD211" s="60"/>
      <c r="AE211" s="60"/>
      <c r="AF211" s="60"/>
      <c r="AG211" s="60"/>
      <c r="AH211" s="63"/>
      <c r="AI211" s="62">
        <v>499428800</v>
      </c>
      <c r="AJ211" s="60"/>
      <c r="AK211" s="60"/>
      <c r="AL211" s="60"/>
      <c r="AM211" s="60"/>
      <c r="AN211" s="60"/>
      <c r="AO211" s="63"/>
      <c r="AP211" s="62">
        <v>519405952</v>
      </c>
      <c r="AQ211" s="60"/>
      <c r="AR211" s="60"/>
      <c r="AS211" s="60"/>
      <c r="AT211" s="60"/>
      <c r="AU211" s="60"/>
      <c r="AV211" s="64"/>
      <c r="AW211" s="55">
        <f t="shared" si="17"/>
        <v>61750000</v>
      </c>
      <c r="AX211" s="55">
        <f t="shared" si="18"/>
        <v>480220000</v>
      </c>
      <c r="AY211" s="55">
        <f t="shared" si="19"/>
        <v>499428800</v>
      </c>
      <c r="AZ211" s="55">
        <f t="shared" si="20"/>
        <v>519405952</v>
      </c>
      <c r="BA211" s="55">
        <f t="shared" si="21"/>
        <v>1560804752</v>
      </c>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row>
    <row r="212" spans="1:133" s="8" customFormat="1" ht="110.25" x14ac:dyDescent="0.25">
      <c r="A212" s="148" t="s">
        <v>28</v>
      </c>
      <c r="B212" s="56" t="s">
        <v>361</v>
      </c>
      <c r="C212" s="56" t="s">
        <v>448</v>
      </c>
      <c r="D212" s="149" t="s">
        <v>449</v>
      </c>
      <c r="E212" s="150">
        <v>0.15</v>
      </c>
      <c r="F212" s="150">
        <v>0.1</v>
      </c>
      <c r="G212" s="56" t="s">
        <v>462</v>
      </c>
      <c r="H212" s="56" t="s">
        <v>1348</v>
      </c>
      <c r="I212" s="108" t="s">
        <v>464</v>
      </c>
      <c r="J212" s="108" t="s">
        <v>1683</v>
      </c>
      <c r="K212" s="99">
        <v>4</v>
      </c>
      <c r="L212" s="178">
        <v>2</v>
      </c>
      <c r="M212" s="108" t="s">
        <v>234</v>
      </c>
      <c r="N212" s="100" t="s">
        <v>369</v>
      </c>
      <c r="O212" s="54" t="s">
        <v>360</v>
      </c>
      <c r="P212" s="74" t="s">
        <v>42</v>
      </c>
      <c r="Q212" s="54" t="s">
        <v>1679</v>
      </c>
      <c r="R212" s="182">
        <v>2</v>
      </c>
      <c r="S212" s="178">
        <v>2</v>
      </c>
      <c r="T212" s="178">
        <v>2</v>
      </c>
      <c r="U212" s="183">
        <v>2</v>
      </c>
      <c r="V212" s="59">
        <v>61750000</v>
      </c>
      <c r="W212" s="60"/>
      <c r="X212" s="60"/>
      <c r="Y212" s="60"/>
      <c r="Z212" s="60"/>
      <c r="AA212" s="61"/>
      <c r="AB212" s="62">
        <v>480220000</v>
      </c>
      <c r="AC212" s="60"/>
      <c r="AD212" s="60"/>
      <c r="AE212" s="60"/>
      <c r="AF212" s="60"/>
      <c r="AG212" s="60"/>
      <c r="AH212" s="63"/>
      <c r="AI212" s="62">
        <v>499428800</v>
      </c>
      <c r="AJ212" s="60"/>
      <c r="AK212" s="60"/>
      <c r="AL212" s="60"/>
      <c r="AM212" s="60"/>
      <c r="AN212" s="60"/>
      <c r="AO212" s="63"/>
      <c r="AP212" s="62">
        <v>519405952</v>
      </c>
      <c r="AQ212" s="60"/>
      <c r="AR212" s="60"/>
      <c r="AS212" s="60"/>
      <c r="AT212" s="60"/>
      <c r="AU212" s="60"/>
      <c r="AV212" s="64"/>
      <c r="AW212" s="55">
        <f t="shared" si="17"/>
        <v>61750000</v>
      </c>
      <c r="AX212" s="55">
        <f t="shared" si="18"/>
        <v>480220000</v>
      </c>
      <c r="AY212" s="55">
        <f t="shared" si="19"/>
        <v>499428800</v>
      </c>
      <c r="AZ212" s="55">
        <f t="shared" si="20"/>
        <v>519405952</v>
      </c>
      <c r="BA212" s="55">
        <f t="shared" si="21"/>
        <v>1560804752</v>
      </c>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row>
    <row r="213" spans="1:133" s="13" customFormat="1" ht="94.5" x14ac:dyDescent="0.25">
      <c r="A213" s="148" t="s">
        <v>28</v>
      </c>
      <c r="B213" s="56" t="s">
        <v>361</v>
      </c>
      <c r="C213" s="56" t="s">
        <v>448</v>
      </c>
      <c r="D213" s="149" t="s">
        <v>449</v>
      </c>
      <c r="E213" s="150">
        <v>0.15</v>
      </c>
      <c r="F213" s="150">
        <v>0.1</v>
      </c>
      <c r="G213" s="56" t="s">
        <v>465</v>
      </c>
      <c r="H213" s="56" t="s">
        <v>1349</v>
      </c>
      <c r="I213" s="108" t="s">
        <v>466</v>
      </c>
      <c r="J213" s="108" t="s">
        <v>1683</v>
      </c>
      <c r="K213" s="99">
        <v>0</v>
      </c>
      <c r="L213" s="178">
        <v>80</v>
      </c>
      <c r="M213" s="108" t="s">
        <v>234</v>
      </c>
      <c r="N213" s="100" t="s">
        <v>369</v>
      </c>
      <c r="O213" s="54" t="s">
        <v>360</v>
      </c>
      <c r="P213" s="74" t="s">
        <v>39</v>
      </c>
      <c r="Q213" s="175" t="s">
        <v>1680</v>
      </c>
      <c r="R213" s="182">
        <v>20</v>
      </c>
      <c r="S213" s="178">
        <v>20</v>
      </c>
      <c r="T213" s="178">
        <v>20</v>
      </c>
      <c r="U213" s="183">
        <v>20</v>
      </c>
      <c r="V213" s="59">
        <v>50000000</v>
      </c>
      <c r="W213" s="60"/>
      <c r="X213" s="60"/>
      <c r="Y213" s="60"/>
      <c r="Z213" s="60"/>
      <c r="AA213" s="61"/>
      <c r="AB213" s="62">
        <v>52000000</v>
      </c>
      <c r="AC213" s="60"/>
      <c r="AD213" s="60"/>
      <c r="AE213" s="60"/>
      <c r="AF213" s="60"/>
      <c r="AG213" s="60"/>
      <c r="AH213" s="63"/>
      <c r="AI213" s="62">
        <v>54080000</v>
      </c>
      <c r="AJ213" s="60"/>
      <c r="AK213" s="60"/>
      <c r="AL213" s="60"/>
      <c r="AM213" s="60"/>
      <c r="AN213" s="60"/>
      <c r="AO213" s="63"/>
      <c r="AP213" s="62">
        <v>56243200</v>
      </c>
      <c r="AQ213" s="60"/>
      <c r="AR213" s="60"/>
      <c r="AS213" s="60"/>
      <c r="AT213" s="60"/>
      <c r="AU213" s="60"/>
      <c r="AV213" s="64"/>
      <c r="AW213" s="55">
        <f t="shared" si="17"/>
        <v>50000000</v>
      </c>
      <c r="AX213" s="55">
        <f t="shared" si="18"/>
        <v>52000000</v>
      </c>
      <c r="AY213" s="55">
        <f t="shared" si="19"/>
        <v>54080000</v>
      </c>
      <c r="AZ213" s="55">
        <f t="shared" si="20"/>
        <v>56243200</v>
      </c>
      <c r="BA213" s="55">
        <f t="shared" si="21"/>
        <v>212323200</v>
      </c>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row>
    <row r="214" spans="1:133" s="20" customFormat="1" ht="94.5" x14ac:dyDescent="0.25">
      <c r="A214" s="148" t="s">
        <v>28</v>
      </c>
      <c r="B214" s="56" t="s">
        <v>361</v>
      </c>
      <c r="C214" s="56" t="s">
        <v>448</v>
      </c>
      <c r="D214" s="149" t="s">
        <v>449</v>
      </c>
      <c r="E214" s="150">
        <v>0.15</v>
      </c>
      <c r="F214" s="150">
        <v>0.1</v>
      </c>
      <c r="G214" s="56" t="s">
        <v>465</v>
      </c>
      <c r="H214" s="56" t="s">
        <v>1350</v>
      </c>
      <c r="I214" s="108" t="s">
        <v>467</v>
      </c>
      <c r="J214" s="108" t="s">
        <v>1683</v>
      </c>
      <c r="K214" s="99">
        <v>0</v>
      </c>
      <c r="L214" s="178">
        <v>2</v>
      </c>
      <c r="M214" s="108" t="s">
        <v>234</v>
      </c>
      <c r="N214" s="100" t="s">
        <v>369</v>
      </c>
      <c r="O214" s="54" t="s">
        <v>360</v>
      </c>
      <c r="P214" s="74" t="s">
        <v>254</v>
      </c>
      <c r="Q214" s="54" t="s">
        <v>1679</v>
      </c>
      <c r="R214" s="182">
        <v>2</v>
      </c>
      <c r="S214" s="178">
        <v>2</v>
      </c>
      <c r="T214" s="178">
        <v>2</v>
      </c>
      <c r="U214" s="183">
        <v>2</v>
      </c>
      <c r="V214" s="59">
        <v>50000000</v>
      </c>
      <c r="W214" s="60"/>
      <c r="X214" s="60"/>
      <c r="Y214" s="60"/>
      <c r="Z214" s="60"/>
      <c r="AA214" s="61"/>
      <c r="AB214" s="62">
        <v>52000000</v>
      </c>
      <c r="AC214" s="60"/>
      <c r="AD214" s="60"/>
      <c r="AE214" s="60"/>
      <c r="AF214" s="60"/>
      <c r="AG214" s="60"/>
      <c r="AH214" s="63"/>
      <c r="AI214" s="62">
        <v>54080000</v>
      </c>
      <c r="AJ214" s="60"/>
      <c r="AK214" s="60"/>
      <c r="AL214" s="60"/>
      <c r="AM214" s="60"/>
      <c r="AN214" s="60"/>
      <c r="AO214" s="63"/>
      <c r="AP214" s="62">
        <v>56243200</v>
      </c>
      <c r="AQ214" s="60"/>
      <c r="AR214" s="60"/>
      <c r="AS214" s="60"/>
      <c r="AT214" s="60"/>
      <c r="AU214" s="60"/>
      <c r="AV214" s="64"/>
      <c r="AW214" s="55">
        <f t="shared" si="17"/>
        <v>50000000</v>
      </c>
      <c r="AX214" s="55">
        <f t="shared" si="18"/>
        <v>52000000</v>
      </c>
      <c r="AY214" s="55">
        <f t="shared" si="19"/>
        <v>54080000</v>
      </c>
      <c r="AZ214" s="55">
        <f t="shared" si="20"/>
        <v>56243200</v>
      </c>
      <c r="BA214" s="55">
        <f t="shared" si="21"/>
        <v>212323200</v>
      </c>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row>
    <row r="215" spans="1:133" s="8" customFormat="1" ht="94.5" x14ac:dyDescent="0.25">
      <c r="A215" s="148" t="s">
        <v>28</v>
      </c>
      <c r="B215" s="56" t="s">
        <v>361</v>
      </c>
      <c r="C215" s="56" t="s">
        <v>448</v>
      </c>
      <c r="D215" s="149" t="s">
        <v>449</v>
      </c>
      <c r="E215" s="150">
        <v>0.15</v>
      </c>
      <c r="F215" s="150">
        <v>0.1</v>
      </c>
      <c r="G215" s="56" t="s">
        <v>465</v>
      </c>
      <c r="H215" s="56" t="s">
        <v>1351</v>
      </c>
      <c r="I215" s="108" t="s">
        <v>468</v>
      </c>
      <c r="J215" s="108" t="s">
        <v>1683</v>
      </c>
      <c r="K215" s="99">
        <v>5</v>
      </c>
      <c r="L215" s="178">
        <v>5</v>
      </c>
      <c r="M215" s="108" t="s">
        <v>234</v>
      </c>
      <c r="N215" s="100" t="s">
        <v>369</v>
      </c>
      <c r="O215" s="54" t="s">
        <v>360</v>
      </c>
      <c r="P215" s="74" t="s">
        <v>42</v>
      </c>
      <c r="Q215" s="54" t="s">
        <v>1679</v>
      </c>
      <c r="R215" s="182">
        <v>5</v>
      </c>
      <c r="S215" s="178">
        <v>5</v>
      </c>
      <c r="T215" s="178">
        <v>5</v>
      </c>
      <c r="U215" s="183">
        <v>5</v>
      </c>
      <c r="V215" s="59">
        <v>50000000</v>
      </c>
      <c r="W215" s="60"/>
      <c r="X215" s="60"/>
      <c r="Y215" s="60"/>
      <c r="Z215" s="60"/>
      <c r="AA215" s="61"/>
      <c r="AB215" s="62">
        <v>52000000</v>
      </c>
      <c r="AC215" s="60"/>
      <c r="AD215" s="60"/>
      <c r="AE215" s="60"/>
      <c r="AF215" s="60"/>
      <c r="AG215" s="60"/>
      <c r="AH215" s="63"/>
      <c r="AI215" s="62">
        <v>54080000</v>
      </c>
      <c r="AJ215" s="60"/>
      <c r="AK215" s="60"/>
      <c r="AL215" s="60"/>
      <c r="AM215" s="60"/>
      <c r="AN215" s="60"/>
      <c r="AO215" s="63"/>
      <c r="AP215" s="62">
        <v>56243200</v>
      </c>
      <c r="AQ215" s="60"/>
      <c r="AR215" s="60"/>
      <c r="AS215" s="60"/>
      <c r="AT215" s="60"/>
      <c r="AU215" s="60"/>
      <c r="AV215" s="64"/>
      <c r="AW215" s="55">
        <f t="shared" si="17"/>
        <v>50000000</v>
      </c>
      <c r="AX215" s="55">
        <f t="shared" si="18"/>
        <v>52000000</v>
      </c>
      <c r="AY215" s="55">
        <f t="shared" si="19"/>
        <v>54080000</v>
      </c>
      <c r="AZ215" s="55">
        <f t="shared" si="20"/>
        <v>56243200</v>
      </c>
      <c r="BA215" s="55">
        <f t="shared" si="21"/>
        <v>212323200</v>
      </c>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row>
    <row r="216" spans="1:133" s="8" customFormat="1" ht="157.5" x14ac:dyDescent="0.25">
      <c r="A216" s="148" t="s">
        <v>28</v>
      </c>
      <c r="B216" s="56" t="s">
        <v>361</v>
      </c>
      <c r="C216" s="56" t="s">
        <v>448</v>
      </c>
      <c r="D216" s="149" t="s">
        <v>449</v>
      </c>
      <c r="E216" s="150">
        <v>0.15</v>
      </c>
      <c r="F216" s="150">
        <v>0.1</v>
      </c>
      <c r="G216" s="56" t="s">
        <v>465</v>
      </c>
      <c r="H216" s="56" t="s">
        <v>1352</v>
      </c>
      <c r="I216" s="108" t="s">
        <v>469</v>
      </c>
      <c r="J216" s="108" t="s">
        <v>1682</v>
      </c>
      <c r="K216" s="178">
        <v>100</v>
      </c>
      <c r="L216" s="179">
        <v>100</v>
      </c>
      <c r="M216" s="108" t="s">
        <v>234</v>
      </c>
      <c r="N216" s="100" t="s">
        <v>369</v>
      </c>
      <c r="O216" s="54" t="s">
        <v>360</v>
      </c>
      <c r="P216" s="74" t="s">
        <v>39</v>
      </c>
      <c r="Q216" s="175" t="s">
        <v>1680</v>
      </c>
      <c r="R216" s="182">
        <v>20</v>
      </c>
      <c r="S216" s="178">
        <v>40</v>
      </c>
      <c r="T216" s="178">
        <v>30</v>
      </c>
      <c r="U216" s="183">
        <v>10</v>
      </c>
      <c r="V216" s="59">
        <v>50000000</v>
      </c>
      <c r="W216" s="60"/>
      <c r="X216" s="60"/>
      <c r="Y216" s="60"/>
      <c r="Z216" s="60"/>
      <c r="AA216" s="61"/>
      <c r="AB216" s="62">
        <v>52000000</v>
      </c>
      <c r="AC216" s="60"/>
      <c r="AD216" s="60"/>
      <c r="AE216" s="60"/>
      <c r="AF216" s="60"/>
      <c r="AG216" s="60"/>
      <c r="AH216" s="63"/>
      <c r="AI216" s="62">
        <v>54080000</v>
      </c>
      <c r="AJ216" s="60"/>
      <c r="AK216" s="60"/>
      <c r="AL216" s="60"/>
      <c r="AM216" s="60"/>
      <c r="AN216" s="60"/>
      <c r="AO216" s="63"/>
      <c r="AP216" s="62">
        <v>56243200</v>
      </c>
      <c r="AQ216" s="60"/>
      <c r="AR216" s="60"/>
      <c r="AS216" s="60"/>
      <c r="AT216" s="60"/>
      <c r="AU216" s="60"/>
      <c r="AV216" s="64"/>
      <c r="AW216" s="55">
        <f t="shared" si="17"/>
        <v>50000000</v>
      </c>
      <c r="AX216" s="55">
        <f t="shared" si="18"/>
        <v>52000000</v>
      </c>
      <c r="AY216" s="55">
        <f t="shared" si="19"/>
        <v>54080000</v>
      </c>
      <c r="AZ216" s="55">
        <f t="shared" si="20"/>
        <v>56243200</v>
      </c>
      <c r="BA216" s="55">
        <f t="shared" si="21"/>
        <v>212323200</v>
      </c>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row>
    <row r="217" spans="1:133" s="13" customFormat="1" ht="94.5" x14ac:dyDescent="0.25">
      <c r="A217" s="148" t="s">
        <v>28</v>
      </c>
      <c r="B217" s="56" t="s">
        <v>361</v>
      </c>
      <c r="C217" s="56" t="s">
        <v>448</v>
      </c>
      <c r="D217" s="149" t="s">
        <v>449</v>
      </c>
      <c r="E217" s="150">
        <v>0.15</v>
      </c>
      <c r="F217" s="150">
        <v>0.1</v>
      </c>
      <c r="G217" s="56" t="s">
        <v>470</v>
      </c>
      <c r="H217" s="56" t="s">
        <v>1353</v>
      </c>
      <c r="I217" s="108" t="s">
        <v>471</v>
      </c>
      <c r="J217" s="108" t="s">
        <v>1683</v>
      </c>
      <c r="K217" s="99">
        <v>531</v>
      </c>
      <c r="L217" s="178">
        <v>1000</v>
      </c>
      <c r="M217" s="108" t="s">
        <v>234</v>
      </c>
      <c r="N217" s="100" t="s">
        <v>369</v>
      </c>
      <c r="O217" s="54" t="s">
        <v>360</v>
      </c>
      <c r="P217" s="74" t="s">
        <v>39</v>
      </c>
      <c r="Q217" s="175" t="s">
        <v>1680</v>
      </c>
      <c r="R217" s="182">
        <v>200</v>
      </c>
      <c r="S217" s="178">
        <v>300</v>
      </c>
      <c r="T217" s="178">
        <v>300</v>
      </c>
      <c r="U217" s="183">
        <v>200</v>
      </c>
      <c r="V217" s="59">
        <v>23333333.333333332</v>
      </c>
      <c r="W217" s="60"/>
      <c r="X217" s="60"/>
      <c r="Y217" s="60"/>
      <c r="Z217" s="60"/>
      <c r="AA217" s="61"/>
      <c r="AB217" s="62">
        <v>24266666.666666668</v>
      </c>
      <c r="AC217" s="60"/>
      <c r="AD217" s="60"/>
      <c r="AE217" s="60"/>
      <c r="AF217" s="60"/>
      <c r="AG217" s="60"/>
      <c r="AH217" s="63"/>
      <c r="AI217" s="62">
        <v>25237333.333333332</v>
      </c>
      <c r="AJ217" s="60"/>
      <c r="AK217" s="60"/>
      <c r="AL217" s="60"/>
      <c r="AM217" s="60"/>
      <c r="AN217" s="60"/>
      <c r="AO217" s="63"/>
      <c r="AP217" s="62">
        <v>26246826.666666668</v>
      </c>
      <c r="AQ217" s="60"/>
      <c r="AR217" s="60"/>
      <c r="AS217" s="60"/>
      <c r="AT217" s="60"/>
      <c r="AU217" s="60"/>
      <c r="AV217" s="64"/>
      <c r="AW217" s="55">
        <f t="shared" si="17"/>
        <v>23333333.333333332</v>
      </c>
      <c r="AX217" s="55">
        <f t="shared" si="18"/>
        <v>24266666.666666668</v>
      </c>
      <c r="AY217" s="55">
        <f t="shared" si="19"/>
        <v>25237333.333333332</v>
      </c>
      <c r="AZ217" s="55">
        <f t="shared" si="20"/>
        <v>26246826.666666668</v>
      </c>
      <c r="BA217" s="55">
        <f t="shared" si="21"/>
        <v>99084160</v>
      </c>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row>
    <row r="218" spans="1:133" s="17" customFormat="1" ht="94.5" x14ac:dyDescent="0.25">
      <c r="A218" s="148" t="s">
        <v>28</v>
      </c>
      <c r="B218" s="56" t="s">
        <v>361</v>
      </c>
      <c r="C218" s="56" t="s">
        <v>448</v>
      </c>
      <c r="D218" s="149" t="s">
        <v>449</v>
      </c>
      <c r="E218" s="150">
        <v>0.15</v>
      </c>
      <c r="F218" s="150">
        <v>0.1</v>
      </c>
      <c r="G218" s="56" t="s">
        <v>470</v>
      </c>
      <c r="H218" s="56" t="s">
        <v>1354</v>
      </c>
      <c r="I218" s="108" t="s">
        <v>472</v>
      </c>
      <c r="J218" s="108" t="s">
        <v>1683</v>
      </c>
      <c r="K218" s="99">
        <v>2</v>
      </c>
      <c r="L218" s="178">
        <v>2</v>
      </c>
      <c r="M218" s="108" t="s">
        <v>234</v>
      </c>
      <c r="N218" s="100" t="s">
        <v>369</v>
      </c>
      <c r="O218" s="54" t="s">
        <v>360</v>
      </c>
      <c r="P218" s="81" t="s">
        <v>254</v>
      </c>
      <c r="Q218" s="54" t="s">
        <v>1679</v>
      </c>
      <c r="R218" s="182">
        <v>2</v>
      </c>
      <c r="S218" s="178">
        <v>2</v>
      </c>
      <c r="T218" s="178">
        <v>2</v>
      </c>
      <c r="U218" s="183">
        <v>2</v>
      </c>
      <c r="V218" s="59">
        <v>23333333.333333332</v>
      </c>
      <c r="W218" s="60"/>
      <c r="X218" s="60"/>
      <c r="Y218" s="60"/>
      <c r="Z218" s="60"/>
      <c r="AA218" s="61"/>
      <c r="AB218" s="62">
        <v>24266666.666666668</v>
      </c>
      <c r="AC218" s="60"/>
      <c r="AD218" s="60"/>
      <c r="AE218" s="60"/>
      <c r="AF218" s="60"/>
      <c r="AG218" s="60"/>
      <c r="AH218" s="63"/>
      <c r="AI218" s="62">
        <v>25237333.333333332</v>
      </c>
      <c r="AJ218" s="60"/>
      <c r="AK218" s="60"/>
      <c r="AL218" s="60"/>
      <c r="AM218" s="60"/>
      <c r="AN218" s="60"/>
      <c r="AO218" s="63"/>
      <c r="AP218" s="62">
        <v>26246826.666666668</v>
      </c>
      <c r="AQ218" s="60"/>
      <c r="AR218" s="60"/>
      <c r="AS218" s="60"/>
      <c r="AT218" s="60"/>
      <c r="AU218" s="60"/>
      <c r="AV218" s="64"/>
      <c r="AW218" s="55">
        <f t="shared" si="17"/>
        <v>23333333.333333332</v>
      </c>
      <c r="AX218" s="55">
        <f t="shared" si="18"/>
        <v>24266666.666666668</v>
      </c>
      <c r="AY218" s="55">
        <f t="shared" si="19"/>
        <v>25237333.333333332</v>
      </c>
      <c r="AZ218" s="55">
        <f t="shared" si="20"/>
        <v>26246826.666666668</v>
      </c>
      <c r="BA218" s="55">
        <f t="shared" si="21"/>
        <v>99084160</v>
      </c>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row>
    <row r="219" spans="1:133" s="20" customFormat="1" ht="94.5" x14ac:dyDescent="0.25">
      <c r="A219" s="148" t="s">
        <v>28</v>
      </c>
      <c r="B219" s="56" t="s">
        <v>361</v>
      </c>
      <c r="C219" s="56" t="s">
        <v>448</v>
      </c>
      <c r="D219" s="149" t="s">
        <v>449</v>
      </c>
      <c r="E219" s="150">
        <v>0.15</v>
      </c>
      <c r="F219" s="150">
        <v>0.1</v>
      </c>
      <c r="G219" s="56" t="s">
        <v>470</v>
      </c>
      <c r="H219" s="56" t="s">
        <v>1355</v>
      </c>
      <c r="I219" s="108" t="s">
        <v>473</v>
      </c>
      <c r="J219" s="108" t="s">
        <v>1683</v>
      </c>
      <c r="K219" s="99">
        <v>1</v>
      </c>
      <c r="L219" s="178">
        <v>4</v>
      </c>
      <c r="M219" s="108" t="s">
        <v>234</v>
      </c>
      <c r="N219" s="100" t="s">
        <v>369</v>
      </c>
      <c r="O219" s="54" t="s">
        <v>360</v>
      </c>
      <c r="P219" s="74" t="s">
        <v>39</v>
      </c>
      <c r="Q219" s="175" t="s">
        <v>1680</v>
      </c>
      <c r="R219" s="182">
        <v>1</v>
      </c>
      <c r="S219" s="178">
        <v>1</v>
      </c>
      <c r="T219" s="178">
        <v>1</v>
      </c>
      <c r="U219" s="183">
        <v>1</v>
      </c>
      <c r="V219" s="59">
        <v>23333333.333333332</v>
      </c>
      <c r="W219" s="60"/>
      <c r="X219" s="60"/>
      <c r="Y219" s="60"/>
      <c r="Z219" s="60"/>
      <c r="AA219" s="61"/>
      <c r="AB219" s="62">
        <v>24266666.666666668</v>
      </c>
      <c r="AC219" s="60"/>
      <c r="AD219" s="60"/>
      <c r="AE219" s="60"/>
      <c r="AF219" s="60"/>
      <c r="AG219" s="60"/>
      <c r="AH219" s="63"/>
      <c r="AI219" s="62">
        <v>25237333.333333332</v>
      </c>
      <c r="AJ219" s="60"/>
      <c r="AK219" s="60"/>
      <c r="AL219" s="60"/>
      <c r="AM219" s="60"/>
      <c r="AN219" s="60"/>
      <c r="AO219" s="63"/>
      <c r="AP219" s="62">
        <v>26246826.666666668</v>
      </c>
      <c r="AQ219" s="60"/>
      <c r="AR219" s="60"/>
      <c r="AS219" s="60"/>
      <c r="AT219" s="60"/>
      <c r="AU219" s="60"/>
      <c r="AV219" s="64"/>
      <c r="AW219" s="55">
        <f t="shared" si="17"/>
        <v>23333333.333333332</v>
      </c>
      <c r="AX219" s="55">
        <f t="shared" si="18"/>
        <v>24266666.666666668</v>
      </c>
      <c r="AY219" s="55">
        <f t="shared" si="19"/>
        <v>25237333.333333332</v>
      </c>
      <c r="AZ219" s="55">
        <f t="shared" si="20"/>
        <v>26246826.666666668</v>
      </c>
      <c r="BA219" s="55">
        <f t="shared" si="21"/>
        <v>99084160</v>
      </c>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row>
    <row r="220" spans="1:133" s="8" customFormat="1" ht="94.5" x14ac:dyDescent="0.25">
      <c r="A220" s="148" t="s">
        <v>28</v>
      </c>
      <c r="B220" s="56" t="s">
        <v>361</v>
      </c>
      <c r="C220" s="56" t="s">
        <v>448</v>
      </c>
      <c r="D220" s="149" t="s">
        <v>449</v>
      </c>
      <c r="E220" s="150">
        <v>0.15</v>
      </c>
      <c r="F220" s="150">
        <v>0.1</v>
      </c>
      <c r="G220" s="56" t="s">
        <v>474</v>
      </c>
      <c r="H220" s="56" t="s">
        <v>1356</v>
      </c>
      <c r="I220" s="108" t="s">
        <v>475</v>
      </c>
      <c r="J220" s="108" t="s">
        <v>1683</v>
      </c>
      <c r="K220" s="99">
        <v>50</v>
      </c>
      <c r="L220" s="178">
        <v>200</v>
      </c>
      <c r="M220" s="108" t="s">
        <v>337</v>
      </c>
      <c r="N220" s="108" t="s">
        <v>369</v>
      </c>
      <c r="O220" s="54" t="s">
        <v>360</v>
      </c>
      <c r="P220" s="74" t="s">
        <v>39</v>
      </c>
      <c r="Q220" s="175" t="s">
        <v>1680</v>
      </c>
      <c r="R220" s="182">
        <v>10</v>
      </c>
      <c r="S220" s="178">
        <v>50</v>
      </c>
      <c r="T220" s="178">
        <v>70</v>
      </c>
      <c r="U220" s="183">
        <v>70</v>
      </c>
      <c r="V220" s="59">
        <v>50000000</v>
      </c>
      <c r="W220" s="60"/>
      <c r="X220" s="60"/>
      <c r="Y220" s="60"/>
      <c r="Z220" s="60"/>
      <c r="AA220" s="61"/>
      <c r="AB220" s="62">
        <v>225000000</v>
      </c>
      <c r="AC220" s="60"/>
      <c r="AD220" s="60"/>
      <c r="AE220" s="60"/>
      <c r="AF220" s="60"/>
      <c r="AG220" s="60"/>
      <c r="AH220" s="63"/>
      <c r="AI220" s="62">
        <f>473000000/2</f>
        <v>236500000</v>
      </c>
      <c r="AJ220" s="60"/>
      <c r="AK220" s="60"/>
      <c r="AL220" s="60"/>
      <c r="AM220" s="60"/>
      <c r="AN220" s="60"/>
      <c r="AO220" s="63"/>
      <c r="AP220" s="62">
        <f>496000000/2</f>
        <v>248000000</v>
      </c>
      <c r="AQ220" s="60"/>
      <c r="AR220" s="60"/>
      <c r="AS220" s="60"/>
      <c r="AT220" s="60"/>
      <c r="AU220" s="60"/>
      <c r="AV220" s="64"/>
      <c r="AW220" s="55">
        <f t="shared" si="17"/>
        <v>50000000</v>
      </c>
      <c r="AX220" s="55">
        <f t="shared" si="18"/>
        <v>225000000</v>
      </c>
      <c r="AY220" s="55">
        <f t="shared" si="19"/>
        <v>236500000</v>
      </c>
      <c r="AZ220" s="55">
        <f t="shared" si="20"/>
        <v>248000000</v>
      </c>
      <c r="BA220" s="55">
        <f t="shared" si="21"/>
        <v>759500000</v>
      </c>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row>
    <row r="221" spans="1:133" s="13" customFormat="1" ht="157.5" x14ac:dyDescent="0.25">
      <c r="A221" s="148" t="s">
        <v>28</v>
      </c>
      <c r="B221" s="56" t="s">
        <v>361</v>
      </c>
      <c r="C221" s="56" t="s">
        <v>448</v>
      </c>
      <c r="D221" s="149" t="s">
        <v>449</v>
      </c>
      <c r="E221" s="150">
        <v>0.15</v>
      </c>
      <c r="F221" s="150">
        <v>0.1</v>
      </c>
      <c r="G221" s="56" t="s">
        <v>474</v>
      </c>
      <c r="H221" s="56" t="s">
        <v>1357</v>
      </c>
      <c r="I221" s="108" t="s">
        <v>476</v>
      </c>
      <c r="J221" s="108" t="s">
        <v>1682</v>
      </c>
      <c r="K221" s="178">
        <v>100</v>
      </c>
      <c r="L221" s="179">
        <v>100</v>
      </c>
      <c r="M221" s="108" t="s">
        <v>337</v>
      </c>
      <c r="N221" s="108" t="s">
        <v>369</v>
      </c>
      <c r="O221" s="54" t="s">
        <v>360</v>
      </c>
      <c r="P221" s="74" t="s">
        <v>42</v>
      </c>
      <c r="Q221" s="54" t="s">
        <v>1679</v>
      </c>
      <c r="R221" s="182">
        <v>100</v>
      </c>
      <c r="S221" s="178">
        <v>100</v>
      </c>
      <c r="T221" s="178">
        <v>100</v>
      </c>
      <c r="U221" s="183">
        <v>100</v>
      </c>
      <c r="V221" s="59">
        <v>75000000</v>
      </c>
      <c r="W221" s="60"/>
      <c r="X221" s="60"/>
      <c r="Y221" s="60"/>
      <c r="Z221" s="60"/>
      <c r="AA221" s="61"/>
      <c r="AB221" s="62">
        <v>225000000</v>
      </c>
      <c r="AC221" s="60"/>
      <c r="AD221" s="60"/>
      <c r="AE221" s="60"/>
      <c r="AF221" s="60"/>
      <c r="AG221" s="60"/>
      <c r="AH221" s="63"/>
      <c r="AI221" s="62">
        <f>473000000/2</f>
        <v>236500000</v>
      </c>
      <c r="AJ221" s="60"/>
      <c r="AK221" s="60"/>
      <c r="AL221" s="60"/>
      <c r="AM221" s="60"/>
      <c r="AN221" s="60"/>
      <c r="AO221" s="63"/>
      <c r="AP221" s="62">
        <f>496000000/2</f>
        <v>248000000</v>
      </c>
      <c r="AQ221" s="60"/>
      <c r="AR221" s="60"/>
      <c r="AS221" s="60"/>
      <c r="AT221" s="60"/>
      <c r="AU221" s="60"/>
      <c r="AV221" s="64"/>
      <c r="AW221" s="55">
        <f t="shared" si="17"/>
        <v>75000000</v>
      </c>
      <c r="AX221" s="55">
        <f t="shared" si="18"/>
        <v>225000000</v>
      </c>
      <c r="AY221" s="55">
        <f t="shared" si="19"/>
        <v>236500000</v>
      </c>
      <c r="AZ221" s="55">
        <f t="shared" si="20"/>
        <v>248000000</v>
      </c>
      <c r="BA221" s="55">
        <f t="shared" si="21"/>
        <v>784500000</v>
      </c>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row>
    <row r="222" spans="1:133" s="17" customFormat="1" ht="110.25" x14ac:dyDescent="0.25">
      <c r="A222" s="148" t="s">
        <v>28</v>
      </c>
      <c r="B222" s="56" t="s">
        <v>361</v>
      </c>
      <c r="C222" s="56" t="s">
        <v>448</v>
      </c>
      <c r="D222" s="149" t="s">
        <v>449</v>
      </c>
      <c r="E222" s="150">
        <v>0.15</v>
      </c>
      <c r="F222" s="150">
        <v>0.1</v>
      </c>
      <c r="G222" s="56" t="s">
        <v>474</v>
      </c>
      <c r="H222" s="56" t="s">
        <v>1358</v>
      </c>
      <c r="I222" s="108" t="s">
        <v>477</v>
      </c>
      <c r="J222" s="108" t="s">
        <v>1682</v>
      </c>
      <c r="K222" s="178">
        <v>100</v>
      </c>
      <c r="L222" s="179">
        <v>100</v>
      </c>
      <c r="M222" s="108" t="s">
        <v>234</v>
      </c>
      <c r="N222" s="108" t="s">
        <v>369</v>
      </c>
      <c r="O222" s="54" t="s">
        <v>360</v>
      </c>
      <c r="P222" s="74" t="s">
        <v>42</v>
      </c>
      <c r="Q222" s="54" t="s">
        <v>1679</v>
      </c>
      <c r="R222" s="182">
        <v>100</v>
      </c>
      <c r="S222" s="178">
        <v>100</v>
      </c>
      <c r="T222" s="178">
        <v>100</v>
      </c>
      <c r="U222" s="183">
        <v>100</v>
      </c>
      <c r="V222" s="59">
        <v>11666666.666666666</v>
      </c>
      <c r="W222" s="60"/>
      <c r="X222" s="60"/>
      <c r="Y222" s="60"/>
      <c r="Z222" s="60"/>
      <c r="AA222" s="61"/>
      <c r="AB222" s="62">
        <v>12133333.333333334</v>
      </c>
      <c r="AC222" s="60"/>
      <c r="AD222" s="60"/>
      <c r="AE222" s="60"/>
      <c r="AF222" s="60"/>
      <c r="AG222" s="60"/>
      <c r="AH222" s="63"/>
      <c r="AI222" s="62">
        <v>12618666.666666666</v>
      </c>
      <c r="AJ222" s="60"/>
      <c r="AK222" s="60"/>
      <c r="AL222" s="60"/>
      <c r="AM222" s="60"/>
      <c r="AN222" s="60"/>
      <c r="AO222" s="63"/>
      <c r="AP222" s="62">
        <v>13123413.333333334</v>
      </c>
      <c r="AQ222" s="60"/>
      <c r="AR222" s="60"/>
      <c r="AS222" s="60"/>
      <c r="AT222" s="60"/>
      <c r="AU222" s="60"/>
      <c r="AV222" s="64"/>
      <c r="AW222" s="55">
        <f t="shared" si="17"/>
        <v>11666666.666666666</v>
      </c>
      <c r="AX222" s="55">
        <f t="shared" si="18"/>
        <v>12133333.333333334</v>
      </c>
      <c r="AY222" s="55">
        <f t="shared" si="19"/>
        <v>12618666.666666666</v>
      </c>
      <c r="AZ222" s="55">
        <f t="shared" si="20"/>
        <v>13123413.333333334</v>
      </c>
      <c r="BA222" s="55">
        <f t="shared" si="21"/>
        <v>49542080</v>
      </c>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row>
    <row r="223" spans="1:133" s="20" customFormat="1" ht="204.75" x14ac:dyDescent="0.25">
      <c r="A223" s="148" t="s">
        <v>28</v>
      </c>
      <c r="B223" s="56" t="s">
        <v>361</v>
      </c>
      <c r="C223" s="56" t="s">
        <v>448</v>
      </c>
      <c r="D223" s="149" t="s">
        <v>449</v>
      </c>
      <c r="E223" s="150">
        <v>0.15</v>
      </c>
      <c r="F223" s="150">
        <v>0.1</v>
      </c>
      <c r="G223" s="56" t="s">
        <v>474</v>
      </c>
      <c r="H223" s="56" t="s">
        <v>1359</v>
      </c>
      <c r="I223" s="108" t="s">
        <v>478</v>
      </c>
      <c r="J223" s="108" t="s">
        <v>1683</v>
      </c>
      <c r="K223" s="99">
        <v>1</v>
      </c>
      <c r="L223" s="178">
        <v>4</v>
      </c>
      <c r="M223" s="108" t="s">
        <v>234</v>
      </c>
      <c r="N223" s="108" t="s">
        <v>369</v>
      </c>
      <c r="O223" s="54" t="s">
        <v>360</v>
      </c>
      <c r="P223" s="74" t="s">
        <v>39</v>
      </c>
      <c r="Q223" s="175" t="s">
        <v>1680</v>
      </c>
      <c r="R223" s="182">
        <v>1</v>
      </c>
      <c r="S223" s="178">
        <v>1</v>
      </c>
      <c r="T223" s="178">
        <v>1</v>
      </c>
      <c r="U223" s="183">
        <v>1</v>
      </c>
      <c r="V223" s="59">
        <v>11666666.666666666</v>
      </c>
      <c r="W223" s="60"/>
      <c r="X223" s="60"/>
      <c r="Y223" s="60"/>
      <c r="Z223" s="60"/>
      <c r="AA223" s="61"/>
      <c r="AB223" s="62">
        <v>12133333.333333334</v>
      </c>
      <c r="AC223" s="60"/>
      <c r="AD223" s="60"/>
      <c r="AE223" s="60"/>
      <c r="AF223" s="60"/>
      <c r="AG223" s="60"/>
      <c r="AH223" s="63"/>
      <c r="AI223" s="62">
        <v>12618666.666666666</v>
      </c>
      <c r="AJ223" s="60"/>
      <c r="AK223" s="60"/>
      <c r="AL223" s="60"/>
      <c r="AM223" s="60"/>
      <c r="AN223" s="60"/>
      <c r="AO223" s="63"/>
      <c r="AP223" s="62">
        <v>13123413.333333334</v>
      </c>
      <c r="AQ223" s="60"/>
      <c r="AR223" s="60"/>
      <c r="AS223" s="60"/>
      <c r="AT223" s="60"/>
      <c r="AU223" s="60"/>
      <c r="AV223" s="64"/>
      <c r="AW223" s="55">
        <f t="shared" si="17"/>
        <v>11666666.666666666</v>
      </c>
      <c r="AX223" s="55">
        <f t="shared" si="18"/>
        <v>12133333.333333334</v>
      </c>
      <c r="AY223" s="55">
        <f t="shared" si="19"/>
        <v>12618666.666666666</v>
      </c>
      <c r="AZ223" s="55">
        <f t="shared" si="20"/>
        <v>13123413.333333334</v>
      </c>
      <c r="BA223" s="55">
        <f t="shared" si="21"/>
        <v>49542080</v>
      </c>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row>
    <row r="224" spans="1:133" s="2" customFormat="1" ht="141.75" x14ac:dyDescent="0.25">
      <c r="A224" s="148" t="s">
        <v>28</v>
      </c>
      <c r="B224" s="56" t="s">
        <v>361</v>
      </c>
      <c r="C224" s="56" t="s">
        <v>448</v>
      </c>
      <c r="D224" s="149" t="s">
        <v>449</v>
      </c>
      <c r="E224" s="150">
        <v>0.15</v>
      </c>
      <c r="F224" s="150">
        <v>0.1</v>
      </c>
      <c r="G224" s="56" t="s">
        <v>474</v>
      </c>
      <c r="H224" s="56" t="s">
        <v>1360</v>
      </c>
      <c r="I224" s="84" t="s">
        <v>479</v>
      </c>
      <c r="J224" s="84" t="s">
        <v>1683</v>
      </c>
      <c r="K224" s="69">
        <v>4</v>
      </c>
      <c r="L224" s="180">
        <v>10</v>
      </c>
      <c r="M224" s="108" t="s">
        <v>234</v>
      </c>
      <c r="N224" s="100" t="s">
        <v>369</v>
      </c>
      <c r="O224" s="54" t="s">
        <v>360</v>
      </c>
      <c r="P224" s="75" t="s">
        <v>42</v>
      </c>
      <c r="Q224" s="54" t="s">
        <v>1679</v>
      </c>
      <c r="R224" s="182">
        <v>10</v>
      </c>
      <c r="S224" s="178">
        <v>10</v>
      </c>
      <c r="T224" s="178">
        <v>10</v>
      </c>
      <c r="U224" s="183">
        <v>10</v>
      </c>
      <c r="V224" s="59">
        <v>11666666.666666666</v>
      </c>
      <c r="W224" s="60"/>
      <c r="X224" s="60"/>
      <c r="Y224" s="60"/>
      <c r="Z224" s="60"/>
      <c r="AA224" s="61"/>
      <c r="AB224" s="62">
        <v>12133333.333333334</v>
      </c>
      <c r="AC224" s="60"/>
      <c r="AD224" s="60"/>
      <c r="AE224" s="60"/>
      <c r="AF224" s="60"/>
      <c r="AG224" s="60"/>
      <c r="AH224" s="63"/>
      <c r="AI224" s="62">
        <v>12618666.666666666</v>
      </c>
      <c r="AJ224" s="60"/>
      <c r="AK224" s="60"/>
      <c r="AL224" s="60"/>
      <c r="AM224" s="60"/>
      <c r="AN224" s="60"/>
      <c r="AO224" s="63"/>
      <c r="AP224" s="62">
        <v>13123413.333333334</v>
      </c>
      <c r="AQ224" s="60"/>
      <c r="AR224" s="60"/>
      <c r="AS224" s="60"/>
      <c r="AT224" s="60"/>
      <c r="AU224" s="60"/>
      <c r="AV224" s="64"/>
      <c r="AW224" s="55">
        <f t="shared" si="17"/>
        <v>11666666.666666666</v>
      </c>
      <c r="AX224" s="55">
        <f t="shared" si="18"/>
        <v>12133333.333333334</v>
      </c>
      <c r="AY224" s="55">
        <f t="shared" si="19"/>
        <v>12618666.666666666</v>
      </c>
      <c r="AZ224" s="55">
        <f t="shared" si="20"/>
        <v>13123413.333333334</v>
      </c>
      <c r="BA224" s="55">
        <f t="shared" si="21"/>
        <v>49542080</v>
      </c>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7"/>
      <c r="DE224" s="27"/>
      <c r="DF224" s="27"/>
      <c r="DG224" s="27"/>
      <c r="DH224" s="27"/>
      <c r="DI224" s="27"/>
      <c r="DJ224" s="27"/>
      <c r="DK224" s="27"/>
      <c r="DL224" s="27"/>
      <c r="DM224" s="27"/>
      <c r="DN224" s="27"/>
      <c r="DO224" s="27"/>
      <c r="DP224" s="27"/>
      <c r="DQ224" s="27"/>
      <c r="DR224" s="27"/>
      <c r="DS224" s="27"/>
      <c r="DT224" s="27"/>
      <c r="DU224" s="27"/>
      <c r="DV224" s="27"/>
      <c r="DW224" s="27"/>
      <c r="DX224" s="27"/>
      <c r="DY224" s="27"/>
      <c r="DZ224" s="27"/>
      <c r="EA224" s="27"/>
      <c r="EB224" s="27"/>
      <c r="EC224" s="27"/>
    </row>
    <row r="225" spans="1:133" s="17" customFormat="1" ht="126" x14ac:dyDescent="0.25">
      <c r="A225" s="148" t="s">
        <v>28</v>
      </c>
      <c r="B225" s="56" t="s">
        <v>361</v>
      </c>
      <c r="C225" s="56" t="s">
        <v>448</v>
      </c>
      <c r="D225" s="149" t="s">
        <v>449</v>
      </c>
      <c r="E225" s="150">
        <v>0.15</v>
      </c>
      <c r="F225" s="150">
        <v>0.1</v>
      </c>
      <c r="G225" s="56" t="s">
        <v>474</v>
      </c>
      <c r="H225" s="56" t="s">
        <v>1361</v>
      </c>
      <c r="I225" s="108" t="s">
        <v>480</v>
      </c>
      <c r="J225" s="108" t="s">
        <v>1683</v>
      </c>
      <c r="K225" s="99">
        <v>3</v>
      </c>
      <c r="L225" s="178">
        <v>3</v>
      </c>
      <c r="M225" s="108" t="s">
        <v>234</v>
      </c>
      <c r="N225" s="100" t="s">
        <v>369</v>
      </c>
      <c r="O225" s="54" t="s">
        <v>360</v>
      </c>
      <c r="P225" s="81" t="s">
        <v>42</v>
      </c>
      <c r="Q225" s="54" t="s">
        <v>1679</v>
      </c>
      <c r="R225" s="182">
        <v>3</v>
      </c>
      <c r="S225" s="178">
        <v>3</v>
      </c>
      <c r="T225" s="178">
        <v>3</v>
      </c>
      <c r="U225" s="183">
        <v>3</v>
      </c>
      <c r="V225" s="59">
        <v>11666666.666666666</v>
      </c>
      <c r="W225" s="60"/>
      <c r="X225" s="60"/>
      <c r="Y225" s="60"/>
      <c r="Z225" s="60"/>
      <c r="AA225" s="61"/>
      <c r="AB225" s="62">
        <v>12133333.333333334</v>
      </c>
      <c r="AC225" s="60"/>
      <c r="AD225" s="60"/>
      <c r="AE225" s="60"/>
      <c r="AF225" s="60"/>
      <c r="AG225" s="60"/>
      <c r="AH225" s="63"/>
      <c r="AI225" s="62">
        <v>12618666.666666666</v>
      </c>
      <c r="AJ225" s="60"/>
      <c r="AK225" s="60"/>
      <c r="AL225" s="60"/>
      <c r="AM225" s="60"/>
      <c r="AN225" s="60"/>
      <c r="AO225" s="63"/>
      <c r="AP225" s="62">
        <v>13123413.333333334</v>
      </c>
      <c r="AQ225" s="60"/>
      <c r="AR225" s="60"/>
      <c r="AS225" s="60"/>
      <c r="AT225" s="60"/>
      <c r="AU225" s="60"/>
      <c r="AV225" s="64"/>
      <c r="AW225" s="55">
        <f t="shared" si="17"/>
        <v>11666666.666666666</v>
      </c>
      <c r="AX225" s="55">
        <f t="shared" si="18"/>
        <v>12133333.333333334</v>
      </c>
      <c r="AY225" s="55">
        <f t="shared" si="19"/>
        <v>12618666.666666666</v>
      </c>
      <c r="AZ225" s="55">
        <f t="shared" si="20"/>
        <v>13123413.333333334</v>
      </c>
      <c r="BA225" s="55">
        <f t="shared" si="21"/>
        <v>49542080</v>
      </c>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row>
    <row r="226" spans="1:133" s="13" customFormat="1" ht="126" x14ac:dyDescent="0.25">
      <c r="A226" s="148" t="s">
        <v>28</v>
      </c>
      <c r="B226" s="56" t="s">
        <v>361</v>
      </c>
      <c r="C226" s="56" t="s">
        <v>448</v>
      </c>
      <c r="D226" s="149" t="s">
        <v>449</v>
      </c>
      <c r="E226" s="150">
        <v>0.15</v>
      </c>
      <c r="F226" s="150">
        <v>0.1</v>
      </c>
      <c r="G226" s="56" t="s">
        <v>474</v>
      </c>
      <c r="H226" s="56" t="s">
        <v>1362</v>
      </c>
      <c r="I226" s="108" t="s">
        <v>481</v>
      </c>
      <c r="J226" s="108" t="s">
        <v>1683</v>
      </c>
      <c r="K226" s="99">
        <v>581</v>
      </c>
      <c r="L226" s="178">
        <v>600</v>
      </c>
      <c r="M226" s="108" t="s">
        <v>234</v>
      </c>
      <c r="N226" s="100" t="s">
        <v>369</v>
      </c>
      <c r="O226" s="54" t="s">
        <v>360</v>
      </c>
      <c r="P226" s="74" t="s">
        <v>39</v>
      </c>
      <c r="Q226" s="175" t="s">
        <v>1680</v>
      </c>
      <c r="R226" s="182">
        <v>100</v>
      </c>
      <c r="S226" s="178">
        <v>200</v>
      </c>
      <c r="T226" s="178">
        <v>200</v>
      </c>
      <c r="U226" s="183">
        <v>100</v>
      </c>
      <c r="V226" s="59">
        <v>11666666.666666666</v>
      </c>
      <c r="W226" s="60"/>
      <c r="X226" s="60"/>
      <c r="Y226" s="60"/>
      <c r="Z226" s="60"/>
      <c r="AA226" s="61"/>
      <c r="AB226" s="62">
        <v>12133333.333333334</v>
      </c>
      <c r="AC226" s="60"/>
      <c r="AD226" s="60"/>
      <c r="AE226" s="60"/>
      <c r="AF226" s="60"/>
      <c r="AG226" s="60"/>
      <c r="AH226" s="63"/>
      <c r="AI226" s="62">
        <v>12618666.666666666</v>
      </c>
      <c r="AJ226" s="60"/>
      <c r="AK226" s="60"/>
      <c r="AL226" s="60"/>
      <c r="AM226" s="60"/>
      <c r="AN226" s="60"/>
      <c r="AO226" s="63"/>
      <c r="AP226" s="62">
        <v>13123413.333333334</v>
      </c>
      <c r="AQ226" s="60"/>
      <c r="AR226" s="60"/>
      <c r="AS226" s="60"/>
      <c r="AT226" s="60"/>
      <c r="AU226" s="60"/>
      <c r="AV226" s="64"/>
      <c r="AW226" s="55">
        <f t="shared" si="17"/>
        <v>11666666.666666666</v>
      </c>
      <c r="AX226" s="55">
        <f t="shared" si="18"/>
        <v>12133333.333333334</v>
      </c>
      <c r="AY226" s="55">
        <f t="shared" si="19"/>
        <v>12618666.666666666</v>
      </c>
      <c r="AZ226" s="55">
        <f t="shared" si="20"/>
        <v>13123413.333333334</v>
      </c>
      <c r="BA226" s="55">
        <f t="shared" si="21"/>
        <v>49542080</v>
      </c>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row>
    <row r="227" spans="1:133" s="17" customFormat="1" ht="267.75" x14ac:dyDescent="0.25">
      <c r="A227" s="148" t="s">
        <v>28</v>
      </c>
      <c r="B227" s="56" t="s">
        <v>361</v>
      </c>
      <c r="C227" s="56" t="s">
        <v>448</v>
      </c>
      <c r="D227" s="149" t="s">
        <v>449</v>
      </c>
      <c r="E227" s="150">
        <v>0.15</v>
      </c>
      <c r="F227" s="150">
        <v>0.1</v>
      </c>
      <c r="G227" s="56" t="s">
        <v>474</v>
      </c>
      <c r="H227" s="56" t="s">
        <v>1363</v>
      </c>
      <c r="I227" s="108" t="s">
        <v>482</v>
      </c>
      <c r="J227" s="108" t="s">
        <v>1683</v>
      </c>
      <c r="K227" s="99">
        <v>0</v>
      </c>
      <c r="L227" s="178">
        <v>1</v>
      </c>
      <c r="M227" s="108" t="s">
        <v>234</v>
      </c>
      <c r="N227" s="100" t="s">
        <v>369</v>
      </c>
      <c r="O227" s="54" t="s">
        <v>360</v>
      </c>
      <c r="P227" s="81" t="s">
        <v>254</v>
      </c>
      <c r="Q227" s="54" t="s">
        <v>1679</v>
      </c>
      <c r="R227" s="182">
        <v>1</v>
      </c>
      <c r="S227" s="178">
        <v>1</v>
      </c>
      <c r="T227" s="178">
        <v>1</v>
      </c>
      <c r="U227" s="183">
        <v>1</v>
      </c>
      <c r="V227" s="59">
        <v>11666666.666666666</v>
      </c>
      <c r="W227" s="60"/>
      <c r="X227" s="60"/>
      <c r="Y227" s="60"/>
      <c r="Z227" s="60"/>
      <c r="AA227" s="61"/>
      <c r="AB227" s="62">
        <v>12133333.333333334</v>
      </c>
      <c r="AC227" s="60"/>
      <c r="AD227" s="60"/>
      <c r="AE227" s="60"/>
      <c r="AF227" s="60"/>
      <c r="AG227" s="60"/>
      <c r="AH227" s="63"/>
      <c r="AI227" s="62">
        <v>12618666.666666666</v>
      </c>
      <c r="AJ227" s="60"/>
      <c r="AK227" s="60"/>
      <c r="AL227" s="60"/>
      <c r="AM227" s="60"/>
      <c r="AN227" s="60"/>
      <c r="AO227" s="63"/>
      <c r="AP227" s="62">
        <v>13123413.333333334</v>
      </c>
      <c r="AQ227" s="60"/>
      <c r="AR227" s="60"/>
      <c r="AS227" s="60"/>
      <c r="AT227" s="60"/>
      <c r="AU227" s="60"/>
      <c r="AV227" s="64"/>
      <c r="AW227" s="55">
        <f t="shared" si="17"/>
        <v>11666666.666666666</v>
      </c>
      <c r="AX227" s="55">
        <f t="shared" si="18"/>
        <v>12133333.333333334</v>
      </c>
      <c r="AY227" s="55">
        <f t="shared" si="19"/>
        <v>12618666.666666666</v>
      </c>
      <c r="AZ227" s="55">
        <f t="shared" si="20"/>
        <v>13123413.333333334</v>
      </c>
      <c r="BA227" s="55">
        <f t="shared" si="21"/>
        <v>49542080</v>
      </c>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row>
    <row r="228" spans="1:133" s="20" customFormat="1" ht="157.5" x14ac:dyDescent="0.25">
      <c r="A228" s="148" t="s">
        <v>28</v>
      </c>
      <c r="B228" s="56" t="s">
        <v>361</v>
      </c>
      <c r="C228" s="56" t="s">
        <v>448</v>
      </c>
      <c r="D228" s="149" t="s">
        <v>449</v>
      </c>
      <c r="E228" s="150">
        <v>0.15</v>
      </c>
      <c r="F228" s="150">
        <v>0.1</v>
      </c>
      <c r="G228" s="103" t="s">
        <v>483</v>
      </c>
      <c r="H228" s="103" t="s">
        <v>1364</v>
      </c>
      <c r="I228" s="84" t="s">
        <v>484</v>
      </c>
      <c r="J228" s="84" t="s">
        <v>1683</v>
      </c>
      <c r="K228" s="69">
        <v>10</v>
      </c>
      <c r="L228" s="180">
        <v>20</v>
      </c>
      <c r="M228" s="108" t="s">
        <v>337</v>
      </c>
      <c r="N228" s="100" t="s">
        <v>369</v>
      </c>
      <c r="O228" s="54" t="s">
        <v>360</v>
      </c>
      <c r="P228" s="75" t="s">
        <v>39</v>
      </c>
      <c r="Q228" s="177" t="s">
        <v>1680</v>
      </c>
      <c r="R228" s="182">
        <v>0</v>
      </c>
      <c r="S228" s="178">
        <v>5</v>
      </c>
      <c r="T228" s="178">
        <v>5</v>
      </c>
      <c r="U228" s="183">
        <v>10</v>
      </c>
      <c r="V228" s="59"/>
      <c r="W228" s="60"/>
      <c r="X228" s="60"/>
      <c r="Y228" s="60"/>
      <c r="Z228" s="60"/>
      <c r="AA228" s="61"/>
      <c r="AB228" s="62">
        <v>380000000</v>
      </c>
      <c r="AC228" s="60"/>
      <c r="AD228" s="60"/>
      <c r="AE228" s="60"/>
      <c r="AF228" s="60"/>
      <c r="AG228" s="60"/>
      <c r="AH228" s="63"/>
      <c r="AI228" s="62">
        <v>399000000</v>
      </c>
      <c r="AJ228" s="60"/>
      <c r="AK228" s="60"/>
      <c r="AL228" s="60"/>
      <c r="AM228" s="60"/>
      <c r="AN228" s="60"/>
      <c r="AO228" s="63"/>
      <c r="AP228" s="62">
        <v>419000000</v>
      </c>
      <c r="AQ228" s="60"/>
      <c r="AR228" s="60"/>
      <c r="AS228" s="60"/>
      <c r="AT228" s="60"/>
      <c r="AU228" s="60"/>
      <c r="AV228" s="64"/>
      <c r="AW228" s="55">
        <f t="shared" si="17"/>
        <v>0</v>
      </c>
      <c r="AX228" s="55">
        <f t="shared" si="18"/>
        <v>380000000</v>
      </c>
      <c r="AY228" s="55">
        <f t="shared" si="19"/>
        <v>399000000</v>
      </c>
      <c r="AZ228" s="55">
        <f t="shared" si="20"/>
        <v>419000000</v>
      </c>
      <c r="BA228" s="55">
        <f t="shared" si="21"/>
        <v>1198000000</v>
      </c>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24"/>
      <c r="DA228" s="24"/>
      <c r="DB228" s="24"/>
      <c r="DC228" s="24"/>
      <c r="DD228" s="24"/>
      <c r="DE228" s="24"/>
      <c r="DF228" s="24"/>
      <c r="DG228" s="24"/>
      <c r="DH228" s="24"/>
      <c r="DI228" s="24"/>
      <c r="DJ228" s="24"/>
      <c r="DK228" s="24"/>
      <c r="DL228" s="24"/>
      <c r="DM228" s="24"/>
      <c r="DN228" s="24"/>
      <c r="DO228" s="24"/>
      <c r="DP228" s="24"/>
      <c r="DQ228" s="24"/>
      <c r="DR228" s="24"/>
      <c r="DS228" s="24"/>
      <c r="DT228" s="24"/>
      <c r="DU228" s="24"/>
      <c r="DV228" s="24"/>
      <c r="DW228" s="24"/>
      <c r="DX228" s="24"/>
      <c r="DY228" s="24"/>
      <c r="DZ228" s="24"/>
      <c r="EA228" s="24"/>
      <c r="EB228" s="24"/>
      <c r="EC228" s="24"/>
    </row>
    <row r="229" spans="1:133" s="13" customFormat="1" ht="173.25" x14ac:dyDescent="0.25">
      <c r="A229" s="148" t="s">
        <v>28</v>
      </c>
      <c r="B229" s="56" t="s">
        <v>361</v>
      </c>
      <c r="C229" s="56" t="s">
        <v>448</v>
      </c>
      <c r="D229" s="149" t="s">
        <v>449</v>
      </c>
      <c r="E229" s="150">
        <v>0.15</v>
      </c>
      <c r="F229" s="150">
        <v>0.1</v>
      </c>
      <c r="G229" s="56" t="s">
        <v>485</v>
      </c>
      <c r="H229" s="56" t="s">
        <v>1365</v>
      </c>
      <c r="I229" s="108" t="s">
        <v>486</v>
      </c>
      <c r="J229" s="108" t="s">
        <v>1682</v>
      </c>
      <c r="K229" s="178">
        <v>100</v>
      </c>
      <c r="L229" s="179">
        <v>100</v>
      </c>
      <c r="M229" s="108" t="s">
        <v>337</v>
      </c>
      <c r="N229" s="100" t="s">
        <v>369</v>
      </c>
      <c r="O229" s="54" t="s">
        <v>360</v>
      </c>
      <c r="P229" s="74" t="s">
        <v>42</v>
      </c>
      <c r="Q229" s="54" t="s">
        <v>1679</v>
      </c>
      <c r="R229" s="182">
        <v>100</v>
      </c>
      <c r="S229" s="178">
        <v>100</v>
      </c>
      <c r="T229" s="178">
        <v>100</v>
      </c>
      <c r="U229" s="183">
        <v>100</v>
      </c>
      <c r="V229" s="59">
        <v>15000000</v>
      </c>
      <c r="W229" s="60"/>
      <c r="X229" s="60"/>
      <c r="Y229" s="60"/>
      <c r="Z229" s="60"/>
      <c r="AA229" s="61"/>
      <c r="AB229" s="62">
        <v>250000000</v>
      </c>
      <c r="AC229" s="60"/>
      <c r="AD229" s="60"/>
      <c r="AE229" s="60"/>
      <c r="AF229" s="60"/>
      <c r="AG229" s="60"/>
      <c r="AH229" s="63"/>
      <c r="AI229" s="62">
        <v>263000000</v>
      </c>
      <c r="AJ229" s="60"/>
      <c r="AK229" s="60"/>
      <c r="AL229" s="60"/>
      <c r="AM229" s="60"/>
      <c r="AN229" s="60"/>
      <c r="AO229" s="63"/>
      <c r="AP229" s="62">
        <v>276000000</v>
      </c>
      <c r="AQ229" s="60"/>
      <c r="AR229" s="60"/>
      <c r="AS229" s="60"/>
      <c r="AT229" s="60"/>
      <c r="AU229" s="60"/>
      <c r="AV229" s="64"/>
      <c r="AW229" s="55">
        <f t="shared" si="17"/>
        <v>15000000</v>
      </c>
      <c r="AX229" s="55">
        <f t="shared" si="18"/>
        <v>250000000</v>
      </c>
      <c r="AY229" s="55">
        <f t="shared" si="19"/>
        <v>263000000</v>
      </c>
      <c r="AZ229" s="55">
        <f t="shared" si="20"/>
        <v>276000000</v>
      </c>
      <c r="BA229" s="55">
        <f t="shared" si="21"/>
        <v>804000000</v>
      </c>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row>
    <row r="230" spans="1:133" s="17" customFormat="1" ht="110.25" x14ac:dyDescent="0.25">
      <c r="A230" s="148" t="s">
        <v>28</v>
      </c>
      <c r="B230" s="56" t="s">
        <v>361</v>
      </c>
      <c r="C230" s="56" t="s">
        <v>448</v>
      </c>
      <c r="D230" s="149" t="s">
        <v>449</v>
      </c>
      <c r="E230" s="150">
        <v>0.15</v>
      </c>
      <c r="F230" s="150">
        <v>0.1</v>
      </c>
      <c r="G230" s="56" t="s">
        <v>485</v>
      </c>
      <c r="H230" s="56" t="s">
        <v>1366</v>
      </c>
      <c r="I230" s="108" t="s">
        <v>487</v>
      </c>
      <c r="J230" s="108" t="s">
        <v>1683</v>
      </c>
      <c r="K230" s="99">
        <v>1</v>
      </c>
      <c r="L230" s="178">
        <v>1</v>
      </c>
      <c r="M230" s="108" t="s">
        <v>234</v>
      </c>
      <c r="N230" s="100" t="s">
        <v>369</v>
      </c>
      <c r="O230" s="54" t="s">
        <v>360</v>
      </c>
      <c r="P230" s="74" t="s">
        <v>42</v>
      </c>
      <c r="Q230" s="54" t="s">
        <v>1679</v>
      </c>
      <c r="R230" s="182">
        <v>1</v>
      </c>
      <c r="S230" s="178">
        <v>1</v>
      </c>
      <c r="T230" s="178">
        <v>1</v>
      </c>
      <c r="U230" s="183">
        <v>1</v>
      </c>
      <c r="V230" s="59">
        <v>17500000</v>
      </c>
      <c r="W230" s="60"/>
      <c r="X230" s="60"/>
      <c r="Y230" s="60"/>
      <c r="Z230" s="60"/>
      <c r="AA230" s="61"/>
      <c r="AB230" s="62">
        <v>39000000</v>
      </c>
      <c r="AC230" s="60"/>
      <c r="AD230" s="60"/>
      <c r="AE230" s="60"/>
      <c r="AF230" s="60"/>
      <c r="AG230" s="60"/>
      <c r="AH230" s="63"/>
      <c r="AI230" s="62">
        <v>18928000</v>
      </c>
      <c r="AJ230" s="60"/>
      <c r="AK230" s="60"/>
      <c r="AL230" s="60"/>
      <c r="AM230" s="60"/>
      <c r="AN230" s="60"/>
      <c r="AO230" s="63"/>
      <c r="AP230" s="62">
        <v>18928000</v>
      </c>
      <c r="AQ230" s="60"/>
      <c r="AR230" s="60"/>
      <c r="AS230" s="60"/>
      <c r="AT230" s="60"/>
      <c r="AU230" s="60"/>
      <c r="AV230" s="64"/>
      <c r="AW230" s="55">
        <f t="shared" si="17"/>
        <v>17500000</v>
      </c>
      <c r="AX230" s="55">
        <f t="shared" si="18"/>
        <v>39000000</v>
      </c>
      <c r="AY230" s="55">
        <f t="shared" si="19"/>
        <v>18928000</v>
      </c>
      <c r="AZ230" s="55">
        <f t="shared" si="20"/>
        <v>18928000</v>
      </c>
      <c r="BA230" s="55">
        <f t="shared" si="21"/>
        <v>94356000</v>
      </c>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row>
    <row r="231" spans="1:133" s="13" customFormat="1" ht="126" x14ac:dyDescent="0.25">
      <c r="A231" s="148" t="s">
        <v>28</v>
      </c>
      <c r="B231" s="56" t="s">
        <v>361</v>
      </c>
      <c r="C231" s="56" t="s">
        <v>448</v>
      </c>
      <c r="D231" s="149" t="s">
        <v>449</v>
      </c>
      <c r="E231" s="150">
        <v>0.15</v>
      </c>
      <c r="F231" s="150">
        <v>0.1</v>
      </c>
      <c r="G231" s="56" t="s">
        <v>485</v>
      </c>
      <c r="H231" s="56" t="s">
        <v>1367</v>
      </c>
      <c r="I231" s="108" t="s">
        <v>488</v>
      </c>
      <c r="J231" s="108" t="s">
        <v>1683</v>
      </c>
      <c r="K231" s="99">
        <v>1</v>
      </c>
      <c r="L231" s="178">
        <v>1</v>
      </c>
      <c r="M231" s="108" t="s">
        <v>234</v>
      </c>
      <c r="N231" s="100" t="s">
        <v>369</v>
      </c>
      <c r="O231" s="54" t="s">
        <v>360</v>
      </c>
      <c r="P231" s="74" t="s">
        <v>42</v>
      </c>
      <c r="Q231" s="54" t="s">
        <v>1679</v>
      </c>
      <c r="R231" s="182">
        <v>1</v>
      </c>
      <c r="S231" s="178">
        <v>1</v>
      </c>
      <c r="T231" s="178">
        <v>1</v>
      </c>
      <c r="U231" s="183">
        <v>1</v>
      </c>
      <c r="V231" s="59">
        <v>17500000</v>
      </c>
      <c r="W231" s="60"/>
      <c r="X231" s="60"/>
      <c r="Y231" s="60"/>
      <c r="Z231" s="60"/>
      <c r="AA231" s="61"/>
      <c r="AB231" s="62">
        <v>39000000</v>
      </c>
      <c r="AC231" s="60"/>
      <c r="AD231" s="60"/>
      <c r="AE231" s="60"/>
      <c r="AF231" s="60"/>
      <c r="AG231" s="60"/>
      <c r="AH231" s="63"/>
      <c r="AI231" s="62">
        <v>18928000</v>
      </c>
      <c r="AJ231" s="60"/>
      <c r="AK231" s="60"/>
      <c r="AL231" s="60"/>
      <c r="AM231" s="60"/>
      <c r="AN231" s="60"/>
      <c r="AO231" s="63"/>
      <c r="AP231" s="62">
        <v>18928000</v>
      </c>
      <c r="AQ231" s="60"/>
      <c r="AR231" s="60"/>
      <c r="AS231" s="60"/>
      <c r="AT231" s="60"/>
      <c r="AU231" s="60"/>
      <c r="AV231" s="64"/>
      <c r="AW231" s="55">
        <f t="shared" si="17"/>
        <v>17500000</v>
      </c>
      <c r="AX231" s="55">
        <f t="shared" si="18"/>
        <v>39000000</v>
      </c>
      <c r="AY231" s="55">
        <f t="shared" si="19"/>
        <v>18928000</v>
      </c>
      <c r="AZ231" s="55">
        <f t="shared" si="20"/>
        <v>18928000</v>
      </c>
      <c r="BA231" s="55">
        <f t="shared" si="21"/>
        <v>94356000</v>
      </c>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row>
    <row r="232" spans="1:133" s="8" customFormat="1" ht="189" x14ac:dyDescent="0.25">
      <c r="A232" s="148" t="s">
        <v>28</v>
      </c>
      <c r="B232" s="56" t="s">
        <v>361</v>
      </c>
      <c r="C232" s="56" t="s">
        <v>448</v>
      </c>
      <c r="D232" s="149" t="s">
        <v>449</v>
      </c>
      <c r="E232" s="150">
        <v>0.15</v>
      </c>
      <c r="F232" s="150">
        <v>0.1</v>
      </c>
      <c r="G232" s="56" t="s">
        <v>485</v>
      </c>
      <c r="H232" s="56" t="s">
        <v>1368</v>
      </c>
      <c r="I232" s="108" t="s">
        <v>489</v>
      </c>
      <c r="J232" s="108" t="s">
        <v>1683</v>
      </c>
      <c r="K232" s="99">
        <v>2</v>
      </c>
      <c r="L232" s="178">
        <v>20</v>
      </c>
      <c r="M232" s="108" t="s">
        <v>234</v>
      </c>
      <c r="N232" s="100" t="s">
        <v>369</v>
      </c>
      <c r="O232" s="54" t="s">
        <v>360</v>
      </c>
      <c r="P232" s="74" t="s">
        <v>254</v>
      </c>
      <c r="Q232" s="54" t="s">
        <v>1679</v>
      </c>
      <c r="R232" s="182">
        <v>20</v>
      </c>
      <c r="S232" s="178">
        <v>20</v>
      </c>
      <c r="T232" s="178">
        <v>20</v>
      </c>
      <c r="U232" s="183">
        <v>20</v>
      </c>
      <c r="V232" s="59">
        <v>17500000</v>
      </c>
      <c r="W232" s="60"/>
      <c r="X232" s="60"/>
      <c r="Y232" s="60"/>
      <c r="Z232" s="60"/>
      <c r="AA232" s="61"/>
      <c r="AB232" s="62">
        <v>39000000</v>
      </c>
      <c r="AC232" s="60"/>
      <c r="AD232" s="60"/>
      <c r="AE232" s="60"/>
      <c r="AF232" s="60"/>
      <c r="AG232" s="60"/>
      <c r="AH232" s="63"/>
      <c r="AI232" s="62">
        <v>18928000</v>
      </c>
      <c r="AJ232" s="60"/>
      <c r="AK232" s="60"/>
      <c r="AL232" s="60"/>
      <c r="AM232" s="60"/>
      <c r="AN232" s="60"/>
      <c r="AO232" s="63"/>
      <c r="AP232" s="62">
        <v>18928000</v>
      </c>
      <c r="AQ232" s="60"/>
      <c r="AR232" s="60"/>
      <c r="AS232" s="60"/>
      <c r="AT232" s="60"/>
      <c r="AU232" s="60"/>
      <c r="AV232" s="64"/>
      <c r="AW232" s="55">
        <f t="shared" si="17"/>
        <v>17500000</v>
      </c>
      <c r="AX232" s="55">
        <f t="shared" si="18"/>
        <v>39000000</v>
      </c>
      <c r="AY232" s="55">
        <f t="shared" si="19"/>
        <v>18928000</v>
      </c>
      <c r="AZ232" s="55">
        <f t="shared" si="20"/>
        <v>18928000</v>
      </c>
      <c r="BA232" s="55">
        <f t="shared" si="21"/>
        <v>94356000</v>
      </c>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row>
    <row r="233" spans="1:133" s="13" customFormat="1" ht="110.25" x14ac:dyDescent="0.25">
      <c r="A233" s="148" t="s">
        <v>28</v>
      </c>
      <c r="B233" s="56" t="s">
        <v>361</v>
      </c>
      <c r="C233" s="56" t="s">
        <v>448</v>
      </c>
      <c r="D233" s="149" t="s">
        <v>449</v>
      </c>
      <c r="E233" s="150">
        <v>0.15</v>
      </c>
      <c r="F233" s="150">
        <v>0.1</v>
      </c>
      <c r="G233" s="56" t="s">
        <v>485</v>
      </c>
      <c r="H233" s="56" t="s">
        <v>1369</v>
      </c>
      <c r="I233" s="108" t="s">
        <v>490</v>
      </c>
      <c r="J233" s="108" t="s">
        <v>1683</v>
      </c>
      <c r="K233" s="99">
        <v>0</v>
      </c>
      <c r="L233" s="178">
        <v>60</v>
      </c>
      <c r="M233" s="108" t="s">
        <v>234</v>
      </c>
      <c r="N233" s="100" t="s">
        <v>369</v>
      </c>
      <c r="O233" s="54" t="s">
        <v>360</v>
      </c>
      <c r="P233" s="74" t="s">
        <v>42</v>
      </c>
      <c r="Q233" s="54" t="s">
        <v>1679</v>
      </c>
      <c r="R233" s="182">
        <v>60</v>
      </c>
      <c r="S233" s="178">
        <v>60</v>
      </c>
      <c r="T233" s="178">
        <v>60</v>
      </c>
      <c r="U233" s="183">
        <v>60</v>
      </c>
      <c r="V233" s="59">
        <v>17500000</v>
      </c>
      <c r="W233" s="60"/>
      <c r="X233" s="60"/>
      <c r="Y233" s="60"/>
      <c r="Z233" s="60"/>
      <c r="AA233" s="61"/>
      <c r="AB233" s="62">
        <v>39000000</v>
      </c>
      <c r="AC233" s="60"/>
      <c r="AD233" s="60"/>
      <c r="AE233" s="60"/>
      <c r="AF233" s="60"/>
      <c r="AG233" s="60"/>
      <c r="AH233" s="63"/>
      <c r="AI233" s="62">
        <v>18928000</v>
      </c>
      <c r="AJ233" s="60"/>
      <c r="AK233" s="60"/>
      <c r="AL233" s="60"/>
      <c r="AM233" s="60"/>
      <c r="AN233" s="60"/>
      <c r="AO233" s="63"/>
      <c r="AP233" s="62">
        <v>18928000</v>
      </c>
      <c r="AQ233" s="60"/>
      <c r="AR233" s="60"/>
      <c r="AS233" s="60"/>
      <c r="AT233" s="60"/>
      <c r="AU233" s="60"/>
      <c r="AV233" s="64"/>
      <c r="AW233" s="55">
        <f t="shared" si="17"/>
        <v>17500000</v>
      </c>
      <c r="AX233" s="55">
        <f t="shared" si="18"/>
        <v>39000000</v>
      </c>
      <c r="AY233" s="55">
        <f t="shared" si="19"/>
        <v>18928000</v>
      </c>
      <c r="AZ233" s="55">
        <f t="shared" si="20"/>
        <v>18928000</v>
      </c>
      <c r="BA233" s="55">
        <f t="shared" si="21"/>
        <v>94356000</v>
      </c>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row>
    <row r="234" spans="1:133" s="13" customFormat="1" ht="94.5" x14ac:dyDescent="0.25">
      <c r="A234" s="148" t="s">
        <v>28</v>
      </c>
      <c r="B234" s="56" t="s">
        <v>361</v>
      </c>
      <c r="C234" s="56" t="s">
        <v>448</v>
      </c>
      <c r="D234" s="149" t="s">
        <v>449</v>
      </c>
      <c r="E234" s="150">
        <v>0.15</v>
      </c>
      <c r="F234" s="150">
        <v>0.1</v>
      </c>
      <c r="G234" s="56" t="s">
        <v>491</v>
      </c>
      <c r="H234" s="56" t="s">
        <v>1370</v>
      </c>
      <c r="I234" s="108" t="s">
        <v>492</v>
      </c>
      <c r="J234" s="108" t="s">
        <v>1683</v>
      </c>
      <c r="K234" s="99">
        <v>10</v>
      </c>
      <c r="L234" s="178">
        <v>40</v>
      </c>
      <c r="M234" s="108" t="s">
        <v>337</v>
      </c>
      <c r="N234" s="100" t="s">
        <v>369</v>
      </c>
      <c r="O234" s="54" t="s">
        <v>360</v>
      </c>
      <c r="P234" s="74" t="s">
        <v>39</v>
      </c>
      <c r="Q234" s="175" t="s">
        <v>1680</v>
      </c>
      <c r="R234" s="182">
        <v>10</v>
      </c>
      <c r="S234" s="178">
        <v>10</v>
      </c>
      <c r="T234" s="178">
        <v>10</v>
      </c>
      <c r="U234" s="183">
        <v>10</v>
      </c>
      <c r="V234" s="59">
        <v>50000000</v>
      </c>
      <c r="W234" s="60"/>
      <c r="X234" s="60"/>
      <c r="Y234" s="60"/>
      <c r="Z234" s="60"/>
      <c r="AA234" s="61"/>
      <c r="AB234" s="62">
        <f>450000000/4</f>
        <v>112500000</v>
      </c>
      <c r="AC234" s="60"/>
      <c r="AD234" s="60"/>
      <c r="AE234" s="60"/>
      <c r="AF234" s="60"/>
      <c r="AG234" s="60"/>
      <c r="AH234" s="63"/>
      <c r="AI234" s="62">
        <f>4730000000/4</f>
        <v>1182500000</v>
      </c>
      <c r="AJ234" s="60"/>
      <c r="AK234" s="60"/>
      <c r="AL234" s="60"/>
      <c r="AM234" s="60"/>
      <c r="AN234" s="60"/>
      <c r="AO234" s="63"/>
      <c r="AP234" s="62">
        <f>496000000/3</f>
        <v>165333333.33333334</v>
      </c>
      <c r="AQ234" s="60"/>
      <c r="AR234" s="60"/>
      <c r="AS234" s="60"/>
      <c r="AT234" s="60"/>
      <c r="AU234" s="60"/>
      <c r="AV234" s="64"/>
      <c r="AW234" s="55">
        <f t="shared" si="17"/>
        <v>50000000</v>
      </c>
      <c r="AX234" s="55">
        <f t="shared" si="18"/>
        <v>112500000</v>
      </c>
      <c r="AY234" s="55">
        <f t="shared" si="19"/>
        <v>1182500000</v>
      </c>
      <c r="AZ234" s="55">
        <f t="shared" si="20"/>
        <v>165333333.33333334</v>
      </c>
      <c r="BA234" s="55">
        <f t="shared" si="21"/>
        <v>1510333333.3333333</v>
      </c>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row>
    <row r="235" spans="1:133" s="17" customFormat="1" ht="94.5" x14ac:dyDescent="0.25">
      <c r="A235" s="148" t="s">
        <v>28</v>
      </c>
      <c r="B235" s="56" t="s">
        <v>361</v>
      </c>
      <c r="C235" s="56" t="s">
        <v>448</v>
      </c>
      <c r="D235" s="149" t="s">
        <v>449</v>
      </c>
      <c r="E235" s="150">
        <v>0.15</v>
      </c>
      <c r="F235" s="150">
        <v>0.1</v>
      </c>
      <c r="G235" s="56" t="s">
        <v>491</v>
      </c>
      <c r="H235" s="56" t="s">
        <v>1371</v>
      </c>
      <c r="I235" s="108" t="s">
        <v>493</v>
      </c>
      <c r="J235" s="108" t="s">
        <v>1683</v>
      </c>
      <c r="K235" s="99">
        <v>1</v>
      </c>
      <c r="L235" s="178">
        <v>1</v>
      </c>
      <c r="M235" s="108" t="s">
        <v>337</v>
      </c>
      <c r="N235" s="100" t="s">
        <v>369</v>
      </c>
      <c r="O235" s="54" t="s">
        <v>360</v>
      </c>
      <c r="P235" s="81" t="s">
        <v>42</v>
      </c>
      <c r="Q235" s="54" t="s">
        <v>1679</v>
      </c>
      <c r="R235" s="182">
        <v>1</v>
      </c>
      <c r="S235" s="178">
        <v>1</v>
      </c>
      <c r="T235" s="178">
        <v>1</v>
      </c>
      <c r="U235" s="183">
        <v>1</v>
      </c>
      <c r="V235" s="59">
        <v>35000000</v>
      </c>
      <c r="W235" s="60"/>
      <c r="X235" s="60"/>
      <c r="Y235" s="60"/>
      <c r="Z235" s="60"/>
      <c r="AA235" s="61"/>
      <c r="AB235" s="62">
        <v>112500000</v>
      </c>
      <c r="AC235" s="60"/>
      <c r="AD235" s="60"/>
      <c r="AE235" s="60"/>
      <c r="AF235" s="60"/>
      <c r="AG235" s="60"/>
      <c r="AH235" s="63"/>
      <c r="AI235" s="62">
        <f>4730000000/4</f>
        <v>1182500000</v>
      </c>
      <c r="AJ235" s="60"/>
      <c r="AK235" s="60"/>
      <c r="AL235" s="60"/>
      <c r="AM235" s="60"/>
      <c r="AN235" s="60"/>
      <c r="AO235" s="63"/>
      <c r="AP235" s="62">
        <f>496000000/3</f>
        <v>165333333.33333334</v>
      </c>
      <c r="AQ235" s="60"/>
      <c r="AR235" s="60"/>
      <c r="AS235" s="60"/>
      <c r="AT235" s="60"/>
      <c r="AU235" s="60"/>
      <c r="AV235" s="64"/>
      <c r="AW235" s="55">
        <f t="shared" si="17"/>
        <v>35000000</v>
      </c>
      <c r="AX235" s="55">
        <f t="shared" si="18"/>
        <v>112500000</v>
      </c>
      <c r="AY235" s="55">
        <f t="shared" si="19"/>
        <v>1182500000</v>
      </c>
      <c r="AZ235" s="55">
        <f t="shared" si="20"/>
        <v>165333333.33333334</v>
      </c>
      <c r="BA235" s="55">
        <f t="shared" si="21"/>
        <v>1495333333.3333333</v>
      </c>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row>
    <row r="236" spans="1:133" s="20" customFormat="1" ht="94.5" x14ac:dyDescent="0.25">
      <c r="A236" s="148" t="s">
        <v>28</v>
      </c>
      <c r="B236" s="56" t="s">
        <v>361</v>
      </c>
      <c r="C236" s="56" t="s">
        <v>448</v>
      </c>
      <c r="D236" s="149" t="s">
        <v>449</v>
      </c>
      <c r="E236" s="150">
        <v>0.15</v>
      </c>
      <c r="F236" s="150">
        <v>0.1</v>
      </c>
      <c r="G236" s="56" t="s">
        <v>491</v>
      </c>
      <c r="H236" s="56" t="s">
        <v>1372</v>
      </c>
      <c r="I236" s="108" t="s">
        <v>494</v>
      </c>
      <c r="J236" s="108" t="s">
        <v>1683</v>
      </c>
      <c r="K236" s="99">
        <v>1</v>
      </c>
      <c r="L236" s="178">
        <v>1</v>
      </c>
      <c r="M236" s="108" t="s">
        <v>337</v>
      </c>
      <c r="N236" s="100" t="s">
        <v>369</v>
      </c>
      <c r="O236" s="54" t="s">
        <v>360</v>
      </c>
      <c r="P236" s="74" t="s">
        <v>42</v>
      </c>
      <c r="Q236" s="54" t="s">
        <v>1679</v>
      </c>
      <c r="R236" s="182">
        <v>1</v>
      </c>
      <c r="S236" s="178">
        <v>1</v>
      </c>
      <c r="T236" s="178">
        <v>1</v>
      </c>
      <c r="U236" s="183">
        <v>1</v>
      </c>
      <c r="V236" s="59">
        <v>50000000</v>
      </c>
      <c r="W236" s="60"/>
      <c r="X236" s="60"/>
      <c r="Y236" s="60"/>
      <c r="Z236" s="60"/>
      <c r="AA236" s="61"/>
      <c r="AB236" s="62">
        <v>112500000</v>
      </c>
      <c r="AC236" s="60"/>
      <c r="AD236" s="60"/>
      <c r="AE236" s="60"/>
      <c r="AF236" s="60"/>
      <c r="AG236" s="60"/>
      <c r="AH236" s="63"/>
      <c r="AI236" s="62">
        <f>4730000000/4</f>
        <v>1182500000</v>
      </c>
      <c r="AJ236" s="60"/>
      <c r="AK236" s="60"/>
      <c r="AL236" s="60"/>
      <c r="AM236" s="60"/>
      <c r="AN236" s="60"/>
      <c r="AO236" s="63"/>
      <c r="AP236" s="62">
        <f>496000000/3</f>
        <v>165333333.33333334</v>
      </c>
      <c r="AQ236" s="60"/>
      <c r="AR236" s="60"/>
      <c r="AS236" s="60"/>
      <c r="AT236" s="60"/>
      <c r="AU236" s="60"/>
      <c r="AV236" s="64"/>
      <c r="AW236" s="55">
        <f t="shared" si="17"/>
        <v>50000000</v>
      </c>
      <c r="AX236" s="55">
        <f t="shared" si="18"/>
        <v>112500000</v>
      </c>
      <c r="AY236" s="55">
        <f t="shared" si="19"/>
        <v>1182500000</v>
      </c>
      <c r="AZ236" s="55">
        <f t="shared" si="20"/>
        <v>165333333.33333334</v>
      </c>
      <c r="BA236" s="55">
        <f t="shared" si="21"/>
        <v>1510333333.3333333</v>
      </c>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24"/>
      <c r="DA236" s="24"/>
      <c r="DB236" s="24"/>
      <c r="DC236" s="24"/>
      <c r="DD236" s="24"/>
      <c r="DE236" s="24"/>
      <c r="DF236" s="24"/>
      <c r="DG236" s="24"/>
      <c r="DH236" s="24"/>
      <c r="DI236" s="24"/>
      <c r="DJ236" s="24"/>
      <c r="DK236" s="24"/>
      <c r="DL236" s="24"/>
      <c r="DM236" s="24"/>
      <c r="DN236" s="24"/>
      <c r="DO236" s="24"/>
      <c r="DP236" s="24"/>
      <c r="DQ236" s="24"/>
      <c r="DR236" s="24"/>
      <c r="DS236" s="24"/>
      <c r="DT236" s="24"/>
      <c r="DU236" s="24"/>
      <c r="DV236" s="24"/>
      <c r="DW236" s="24"/>
      <c r="DX236" s="24"/>
      <c r="DY236" s="24"/>
      <c r="DZ236" s="24"/>
      <c r="EA236" s="24"/>
      <c r="EB236" s="24"/>
      <c r="EC236" s="24"/>
    </row>
    <row r="237" spans="1:133" s="8" customFormat="1" ht="94.5" x14ac:dyDescent="0.25">
      <c r="A237" s="148" t="s">
        <v>28</v>
      </c>
      <c r="B237" s="56" t="s">
        <v>361</v>
      </c>
      <c r="C237" s="56" t="s">
        <v>448</v>
      </c>
      <c r="D237" s="149" t="s">
        <v>449</v>
      </c>
      <c r="E237" s="150">
        <v>0.15</v>
      </c>
      <c r="F237" s="150">
        <v>0.1</v>
      </c>
      <c r="G237" s="56" t="s">
        <v>491</v>
      </c>
      <c r="H237" s="56" t="s">
        <v>1373</v>
      </c>
      <c r="I237" s="108" t="s">
        <v>495</v>
      </c>
      <c r="J237" s="108" t="s">
        <v>1683</v>
      </c>
      <c r="K237" s="99">
        <v>1</v>
      </c>
      <c r="L237" s="178">
        <v>2</v>
      </c>
      <c r="M237" s="108" t="s">
        <v>337</v>
      </c>
      <c r="N237" s="100" t="s">
        <v>369</v>
      </c>
      <c r="O237" s="54" t="s">
        <v>360</v>
      </c>
      <c r="P237" s="74" t="s">
        <v>39</v>
      </c>
      <c r="Q237" s="175" t="s">
        <v>1680</v>
      </c>
      <c r="R237" s="182">
        <v>0</v>
      </c>
      <c r="S237" s="178">
        <v>1</v>
      </c>
      <c r="T237" s="178">
        <v>0</v>
      </c>
      <c r="U237" s="183">
        <v>1</v>
      </c>
      <c r="V237" s="59"/>
      <c r="W237" s="60"/>
      <c r="X237" s="60"/>
      <c r="Y237" s="60"/>
      <c r="Z237" s="60"/>
      <c r="AA237" s="61"/>
      <c r="AB237" s="62">
        <v>112500000</v>
      </c>
      <c r="AC237" s="60"/>
      <c r="AD237" s="60"/>
      <c r="AE237" s="60"/>
      <c r="AF237" s="60"/>
      <c r="AG237" s="60"/>
      <c r="AH237" s="63"/>
      <c r="AI237" s="62">
        <f>4730000000/4</f>
        <v>1182500000</v>
      </c>
      <c r="AJ237" s="60"/>
      <c r="AK237" s="60"/>
      <c r="AL237" s="60"/>
      <c r="AM237" s="60"/>
      <c r="AN237" s="60"/>
      <c r="AO237" s="63"/>
      <c r="AP237" s="62"/>
      <c r="AQ237" s="60"/>
      <c r="AR237" s="60"/>
      <c r="AS237" s="60"/>
      <c r="AT237" s="60"/>
      <c r="AU237" s="60"/>
      <c r="AV237" s="64"/>
      <c r="AW237" s="55">
        <f t="shared" si="17"/>
        <v>0</v>
      </c>
      <c r="AX237" s="55">
        <f t="shared" si="18"/>
        <v>112500000</v>
      </c>
      <c r="AY237" s="55">
        <f t="shared" si="19"/>
        <v>1182500000</v>
      </c>
      <c r="AZ237" s="55">
        <f t="shared" si="20"/>
        <v>0</v>
      </c>
      <c r="BA237" s="55">
        <f t="shared" si="21"/>
        <v>1295000000</v>
      </c>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row>
    <row r="238" spans="1:133" s="13" customFormat="1" ht="189" x14ac:dyDescent="0.25">
      <c r="A238" s="148" t="s">
        <v>28</v>
      </c>
      <c r="B238" s="56" t="s">
        <v>361</v>
      </c>
      <c r="C238" s="56" t="s">
        <v>448</v>
      </c>
      <c r="D238" s="149" t="s">
        <v>449</v>
      </c>
      <c r="E238" s="150">
        <v>0.15</v>
      </c>
      <c r="F238" s="150">
        <v>0.1</v>
      </c>
      <c r="G238" s="66" t="s">
        <v>496</v>
      </c>
      <c r="H238" s="66" t="s">
        <v>1374</v>
      </c>
      <c r="I238" s="108" t="s">
        <v>497</v>
      </c>
      <c r="J238" s="108" t="s">
        <v>1683</v>
      </c>
      <c r="K238" s="99">
        <v>100</v>
      </c>
      <c r="L238" s="178">
        <v>2000</v>
      </c>
      <c r="M238" s="108" t="s">
        <v>337</v>
      </c>
      <c r="N238" s="100" t="s">
        <v>369</v>
      </c>
      <c r="O238" s="54" t="s">
        <v>360</v>
      </c>
      <c r="P238" s="74" t="s">
        <v>39</v>
      </c>
      <c r="Q238" s="175" t="s">
        <v>1680</v>
      </c>
      <c r="R238" s="182">
        <v>0</v>
      </c>
      <c r="S238" s="178">
        <v>300</v>
      </c>
      <c r="T238" s="178">
        <v>700</v>
      </c>
      <c r="U238" s="183">
        <v>1000</v>
      </c>
      <c r="V238" s="59"/>
      <c r="W238" s="60"/>
      <c r="X238" s="60"/>
      <c r="Y238" s="60"/>
      <c r="Z238" s="60"/>
      <c r="AA238" s="61"/>
      <c r="AB238" s="62">
        <v>210000000</v>
      </c>
      <c r="AC238" s="60"/>
      <c r="AD238" s="60"/>
      <c r="AE238" s="60"/>
      <c r="AF238" s="60"/>
      <c r="AG238" s="60"/>
      <c r="AH238" s="63"/>
      <c r="AI238" s="62">
        <f>441000000/3</f>
        <v>147000000</v>
      </c>
      <c r="AJ238" s="60"/>
      <c r="AK238" s="60"/>
      <c r="AL238" s="60"/>
      <c r="AM238" s="60"/>
      <c r="AN238" s="60"/>
      <c r="AO238" s="63"/>
      <c r="AP238" s="62">
        <f>463000000/3</f>
        <v>154333333.33333334</v>
      </c>
      <c r="AQ238" s="60"/>
      <c r="AR238" s="60"/>
      <c r="AS238" s="60"/>
      <c r="AT238" s="60"/>
      <c r="AU238" s="60"/>
      <c r="AV238" s="64"/>
      <c r="AW238" s="55">
        <f t="shared" si="17"/>
        <v>0</v>
      </c>
      <c r="AX238" s="55">
        <f t="shared" si="18"/>
        <v>210000000</v>
      </c>
      <c r="AY238" s="55">
        <f t="shared" si="19"/>
        <v>147000000</v>
      </c>
      <c r="AZ238" s="55">
        <f t="shared" si="20"/>
        <v>154333333.33333334</v>
      </c>
      <c r="BA238" s="55">
        <f t="shared" si="21"/>
        <v>511333333.33333337</v>
      </c>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row>
    <row r="239" spans="1:133" s="28" customFormat="1" ht="126" x14ac:dyDescent="0.25">
      <c r="A239" s="148" t="s">
        <v>28</v>
      </c>
      <c r="B239" s="56" t="s">
        <v>361</v>
      </c>
      <c r="C239" s="56" t="s">
        <v>448</v>
      </c>
      <c r="D239" s="149" t="s">
        <v>449</v>
      </c>
      <c r="E239" s="150">
        <v>0.15</v>
      </c>
      <c r="F239" s="150">
        <v>0.1</v>
      </c>
      <c r="G239" s="66" t="s">
        <v>496</v>
      </c>
      <c r="H239" s="66" t="s">
        <v>1375</v>
      </c>
      <c r="I239" s="108" t="s">
        <v>498</v>
      </c>
      <c r="J239" s="108" t="s">
        <v>1683</v>
      </c>
      <c r="K239" s="99">
        <v>5</v>
      </c>
      <c r="L239" s="178">
        <v>30</v>
      </c>
      <c r="M239" s="108" t="s">
        <v>337</v>
      </c>
      <c r="N239" s="100" t="s">
        <v>369</v>
      </c>
      <c r="O239" s="54" t="s">
        <v>360</v>
      </c>
      <c r="P239" s="81" t="s">
        <v>39</v>
      </c>
      <c r="Q239" s="174" t="s">
        <v>1680</v>
      </c>
      <c r="R239" s="182">
        <v>0</v>
      </c>
      <c r="S239" s="178">
        <v>10</v>
      </c>
      <c r="T239" s="178">
        <v>10</v>
      </c>
      <c r="U239" s="183">
        <v>10</v>
      </c>
      <c r="V239" s="59"/>
      <c r="W239" s="60"/>
      <c r="X239" s="60"/>
      <c r="Y239" s="60"/>
      <c r="Z239" s="60"/>
      <c r="AA239" s="61"/>
      <c r="AB239" s="62">
        <v>210000000</v>
      </c>
      <c r="AC239" s="60"/>
      <c r="AD239" s="60"/>
      <c r="AE239" s="60"/>
      <c r="AF239" s="60"/>
      <c r="AG239" s="60"/>
      <c r="AH239" s="63"/>
      <c r="AI239" s="62">
        <f>441000000/3</f>
        <v>147000000</v>
      </c>
      <c r="AJ239" s="60"/>
      <c r="AK239" s="60"/>
      <c r="AL239" s="60"/>
      <c r="AM239" s="60"/>
      <c r="AN239" s="60"/>
      <c r="AO239" s="63"/>
      <c r="AP239" s="62">
        <f>463000000/3</f>
        <v>154333333.33333334</v>
      </c>
      <c r="AQ239" s="60"/>
      <c r="AR239" s="60"/>
      <c r="AS239" s="60"/>
      <c r="AT239" s="60"/>
      <c r="AU239" s="60"/>
      <c r="AV239" s="64"/>
      <c r="AW239" s="55">
        <f t="shared" si="17"/>
        <v>0</v>
      </c>
      <c r="AX239" s="55">
        <f t="shared" si="18"/>
        <v>210000000</v>
      </c>
      <c r="AY239" s="55">
        <f t="shared" si="19"/>
        <v>147000000</v>
      </c>
      <c r="AZ239" s="55">
        <f t="shared" si="20"/>
        <v>154333333.33333334</v>
      </c>
      <c r="BA239" s="55">
        <f t="shared" si="21"/>
        <v>511333333.33333337</v>
      </c>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c r="CV239" s="27"/>
      <c r="CW239" s="27"/>
      <c r="CX239" s="27"/>
      <c r="CY239" s="27"/>
      <c r="CZ239" s="27"/>
      <c r="DA239" s="27"/>
      <c r="DB239" s="27"/>
      <c r="DC239" s="27"/>
      <c r="DD239" s="27"/>
      <c r="DE239" s="27"/>
      <c r="DF239" s="27"/>
      <c r="DG239" s="27"/>
      <c r="DH239" s="27"/>
      <c r="DI239" s="27"/>
      <c r="DJ239" s="27"/>
      <c r="DK239" s="27"/>
      <c r="DL239" s="27"/>
      <c r="DM239" s="27"/>
      <c r="DN239" s="27"/>
      <c r="DO239" s="27"/>
      <c r="DP239" s="27"/>
      <c r="DQ239" s="27"/>
      <c r="DR239" s="27"/>
      <c r="DS239" s="27"/>
      <c r="DT239" s="27"/>
      <c r="DU239" s="27"/>
      <c r="DV239" s="27"/>
      <c r="DW239" s="27"/>
      <c r="DX239" s="27"/>
      <c r="DY239" s="27"/>
      <c r="DZ239" s="27"/>
      <c r="EA239" s="27"/>
      <c r="EB239" s="27"/>
      <c r="EC239" s="27"/>
    </row>
    <row r="240" spans="1:133" s="17" customFormat="1" ht="126" x14ac:dyDescent="0.25">
      <c r="A240" s="148" t="s">
        <v>28</v>
      </c>
      <c r="B240" s="56" t="s">
        <v>361</v>
      </c>
      <c r="C240" s="56" t="s">
        <v>448</v>
      </c>
      <c r="D240" s="149" t="s">
        <v>449</v>
      </c>
      <c r="E240" s="150">
        <v>0.15</v>
      </c>
      <c r="F240" s="150">
        <v>0.1</v>
      </c>
      <c r="G240" s="66" t="s">
        <v>496</v>
      </c>
      <c r="H240" s="66" t="s">
        <v>1376</v>
      </c>
      <c r="I240" s="108" t="s">
        <v>499</v>
      </c>
      <c r="J240" s="108" t="s">
        <v>1683</v>
      </c>
      <c r="K240" s="99">
        <v>0</v>
      </c>
      <c r="L240" s="178">
        <v>2</v>
      </c>
      <c r="M240" s="108" t="s">
        <v>337</v>
      </c>
      <c r="N240" s="100" t="s">
        <v>369</v>
      </c>
      <c r="O240" s="54" t="s">
        <v>360</v>
      </c>
      <c r="P240" s="81" t="s">
        <v>39</v>
      </c>
      <c r="Q240" s="174" t="s">
        <v>1680</v>
      </c>
      <c r="R240" s="182">
        <v>0</v>
      </c>
      <c r="S240" s="178">
        <v>0</v>
      </c>
      <c r="T240" s="178">
        <v>1</v>
      </c>
      <c r="U240" s="183">
        <v>1</v>
      </c>
      <c r="V240" s="59"/>
      <c r="W240" s="60"/>
      <c r="X240" s="60"/>
      <c r="Y240" s="60"/>
      <c r="Z240" s="60"/>
      <c r="AA240" s="61"/>
      <c r="AB240" s="62"/>
      <c r="AC240" s="60"/>
      <c r="AD240" s="60"/>
      <c r="AE240" s="60"/>
      <c r="AF240" s="60"/>
      <c r="AG240" s="60"/>
      <c r="AH240" s="63"/>
      <c r="AI240" s="62">
        <f>441000000/3</f>
        <v>147000000</v>
      </c>
      <c r="AJ240" s="60"/>
      <c r="AK240" s="60"/>
      <c r="AL240" s="60"/>
      <c r="AM240" s="60"/>
      <c r="AN240" s="60"/>
      <c r="AO240" s="63"/>
      <c r="AP240" s="62">
        <f>463000000/3</f>
        <v>154333333.33333334</v>
      </c>
      <c r="AQ240" s="60"/>
      <c r="AR240" s="60"/>
      <c r="AS240" s="60"/>
      <c r="AT240" s="60"/>
      <c r="AU240" s="60"/>
      <c r="AV240" s="64"/>
      <c r="AW240" s="55">
        <f t="shared" si="17"/>
        <v>0</v>
      </c>
      <c r="AX240" s="55">
        <f t="shared" si="18"/>
        <v>0</v>
      </c>
      <c r="AY240" s="55">
        <f t="shared" si="19"/>
        <v>147000000</v>
      </c>
      <c r="AZ240" s="55">
        <f t="shared" si="20"/>
        <v>154333333.33333334</v>
      </c>
      <c r="BA240" s="55">
        <f t="shared" si="21"/>
        <v>301333333.33333337</v>
      </c>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row>
    <row r="241" spans="1:133" s="13" customFormat="1" ht="110.25" x14ac:dyDescent="0.25">
      <c r="A241" s="148" t="s">
        <v>28</v>
      </c>
      <c r="B241" s="56" t="s">
        <v>361</v>
      </c>
      <c r="C241" s="56" t="s">
        <v>500</v>
      </c>
      <c r="D241" s="149" t="s">
        <v>449</v>
      </c>
      <c r="E241" s="150">
        <v>0.15</v>
      </c>
      <c r="F241" s="150">
        <v>0.1</v>
      </c>
      <c r="G241" s="103" t="s">
        <v>501</v>
      </c>
      <c r="H241" s="103" t="s">
        <v>1377</v>
      </c>
      <c r="I241" s="108" t="s">
        <v>502</v>
      </c>
      <c r="J241" s="108" t="s">
        <v>1685</v>
      </c>
      <c r="K241" s="99">
        <v>140</v>
      </c>
      <c r="L241" s="178">
        <v>80</v>
      </c>
      <c r="M241" s="80" t="s">
        <v>503</v>
      </c>
      <c r="N241" s="100" t="s">
        <v>369</v>
      </c>
      <c r="O241" s="54" t="s">
        <v>236</v>
      </c>
      <c r="P241" s="74" t="s">
        <v>39</v>
      </c>
      <c r="Q241" s="175" t="s">
        <v>1680</v>
      </c>
      <c r="R241" s="182">
        <v>10</v>
      </c>
      <c r="S241" s="178">
        <v>20</v>
      </c>
      <c r="T241" s="178">
        <v>25</v>
      </c>
      <c r="U241" s="183">
        <v>25</v>
      </c>
      <c r="V241" s="59">
        <v>50000000</v>
      </c>
      <c r="W241" s="60"/>
      <c r="X241" s="60"/>
      <c r="Y241" s="60"/>
      <c r="Z241" s="60"/>
      <c r="AA241" s="61"/>
      <c r="AB241" s="62">
        <v>400000000</v>
      </c>
      <c r="AC241" s="60"/>
      <c r="AD241" s="60"/>
      <c r="AE241" s="60"/>
      <c r="AF241" s="60"/>
      <c r="AG241" s="60"/>
      <c r="AH241" s="63"/>
      <c r="AI241" s="62">
        <v>450000000</v>
      </c>
      <c r="AJ241" s="60"/>
      <c r="AK241" s="60"/>
      <c r="AL241" s="60"/>
      <c r="AM241" s="60"/>
      <c r="AN241" s="60"/>
      <c r="AO241" s="63"/>
      <c r="AP241" s="62">
        <v>500000000</v>
      </c>
      <c r="AQ241" s="60"/>
      <c r="AR241" s="60"/>
      <c r="AS241" s="60"/>
      <c r="AT241" s="60"/>
      <c r="AU241" s="60"/>
      <c r="AV241" s="64"/>
      <c r="AW241" s="55">
        <f t="shared" si="17"/>
        <v>50000000</v>
      </c>
      <c r="AX241" s="55">
        <f t="shared" si="18"/>
        <v>400000000</v>
      </c>
      <c r="AY241" s="55">
        <f t="shared" si="19"/>
        <v>450000000</v>
      </c>
      <c r="AZ241" s="55">
        <f t="shared" si="20"/>
        <v>500000000</v>
      </c>
      <c r="BA241" s="55">
        <f t="shared" si="21"/>
        <v>1400000000</v>
      </c>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row>
    <row r="242" spans="1:133" s="17" customFormat="1" ht="94.5" x14ac:dyDescent="0.25">
      <c r="A242" s="148" t="s">
        <v>28</v>
      </c>
      <c r="B242" s="56" t="s">
        <v>361</v>
      </c>
      <c r="C242" s="56" t="s">
        <v>500</v>
      </c>
      <c r="D242" s="149" t="s">
        <v>449</v>
      </c>
      <c r="E242" s="150">
        <v>0.15</v>
      </c>
      <c r="F242" s="150">
        <v>0.1</v>
      </c>
      <c r="G242" s="56" t="s">
        <v>504</v>
      </c>
      <c r="H242" s="56" t="s">
        <v>1378</v>
      </c>
      <c r="I242" s="108" t="s">
        <v>505</v>
      </c>
      <c r="J242" s="108" t="s">
        <v>1685</v>
      </c>
      <c r="K242" s="99">
        <v>0</v>
      </c>
      <c r="L242" s="178">
        <v>1</v>
      </c>
      <c r="M242" s="99" t="s">
        <v>503</v>
      </c>
      <c r="N242" s="100" t="s">
        <v>369</v>
      </c>
      <c r="O242" s="54" t="s">
        <v>236</v>
      </c>
      <c r="P242" s="81" t="s">
        <v>39</v>
      </c>
      <c r="Q242" s="174" t="s">
        <v>1680</v>
      </c>
      <c r="R242" s="182">
        <v>0</v>
      </c>
      <c r="S242" s="178">
        <v>0</v>
      </c>
      <c r="T242" s="178">
        <v>1</v>
      </c>
      <c r="U242" s="183">
        <v>0</v>
      </c>
      <c r="V242" s="59">
        <v>0</v>
      </c>
      <c r="W242" s="60"/>
      <c r="X242" s="60"/>
      <c r="Y242" s="60"/>
      <c r="Z242" s="60"/>
      <c r="AA242" s="61"/>
      <c r="AB242" s="62">
        <v>0</v>
      </c>
      <c r="AC242" s="60"/>
      <c r="AD242" s="60"/>
      <c r="AE242" s="60"/>
      <c r="AF242" s="60"/>
      <c r="AG242" s="60"/>
      <c r="AH242" s="63"/>
      <c r="AI242" s="62">
        <v>50000000</v>
      </c>
      <c r="AJ242" s="60"/>
      <c r="AK242" s="60"/>
      <c r="AL242" s="60"/>
      <c r="AM242" s="60"/>
      <c r="AN242" s="60"/>
      <c r="AO242" s="63"/>
      <c r="AP242" s="62"/>
      <c r="AQ242" s="60"/>
      <c r="AR242" s="60"/>
      <c r="AS242" s="60"/>
      <c r="AT242" s="60"/>
      <c r="AU242" s="60"/>
      <c r="AV242" s="64"/>
      <c r="AW242" s="55">
        <f t="shared" si="17"/>
        <v>0</v>
      </c>
      <c r="AX242" s="55">
        <f t="shared" si="18"/>
        <v>0</v>
      </c>
      <c r="AY242" s="55">
        <f t="shared" si="19"/>
        <v>50000000</v>
      </c>
      <c r="AZ242" s="55">
        <f t="shared" si="20"/>
        <v>0</v>
      </c>
      <c r="BA242" s="55">
        <f t="shared" si="21"/>
        <v>50000000</v>
      </c>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row>
    <row r="243" spans="1:133" s="13" customFormat="1" ht="94.5" x14ac:dyDescent="0.25">
      <c r="A243" s="148" t="s">
        <v>28</v>
      </c>
      <c r="B243" s="56" t="s">
        <v>361</v>
      </c>
      <c r="C243" s="56" t="s">
        <v>500</v>
      </c>
      <c r="D243" s="149" t="s">
        <v>449</v>
      </c>
      <c r="E243" s="150">
        <v>0.15</v>
      </c>
      <c r="F243" s="150">
        <v>0.1</v>
      </c>
      <c r="G243" s="56" t="s">
        <v>504</v>
      </c>
      <c r="H243" s="56" t="s">
        <v>1379</v>
      </c>
      <c r="I243" s="108" t="s">
        <v>506</v>
      </c>
      <c r="J243" s="108" t="s">
        <v>1685</v>
      </c>
      <c r="K243" s="99">
        <v>1</v>
      </c>
      <c r="L243" s="178">
        <v>1</v>
      </c>
      <c r="M243" s="99" t="s">
        <v>503</v>
      </c>
      <c r="N243" s="100" t="s">
        <v>369</v>
      </c>
      <c r="O243" s="54" t="s">
        <v>236</v>
      </c>
      <c r="P243" s="67" t="s">
        <v>42</v>
      </c>
      <c r="Q243" s="54" t="s">
        <v>1679</v>
      </c>
      <c r="R243" s="182">
        <v>1</v>
      </c>
      <c r="S243" s="178">
        <v>1</v>
      </c>
      <c r="T243" s="178">
        <v>1</v>
      </c>
      <c r="U243" s="183">
        <v>1</v>
      </c>
      <c r="V243" s="59">
        <v>10000000</v>
      </c>
      <c r="W243" s="60"/>
      <c r="X243" s="60"/>
      <c r="Y243" s="60"/>
      <c r="Z243" s="60"/>
      <c r="AA243" s="61"/>
      <c r="AB243" s="62">
        <v>12000000</v>
      </c>
      <c r="AC243" s="60"/>
      <c r="AD243" s="60"/>
      <c r="AE243" s="60"/>
      <c r="AF243" s="60"/>
      <c r="AG243" s="60"/>
      <c r="AH243" s="63"/>
      <c r="AI243" s="62">
        <v>14000000</v>
      </c>
      <c r="AJ243" s="60"/>
      <c r="AK243" s="60"/>
      <c r="AL243" s="60"/>
      <c r="AM243" s="60"/>
      <c r="AN243" s="60"/>
      <c r="AO243" s="63"/>
      <c r="AP243" s="62">
        <v>76000000</v>
      </c>
      <c r="AQ243" s="60"/>
      <c r="AR243" s="60"/>
      <c r="AS243" s="60"/>
      <c r="AT243" s="60"/>
      <c r="AU243" s="60"/>
      <c r="AV243" s="64"/>
      <c r="AW243" s="55">
        <f t="shared" si="17"/>
        <v>10000000</v>
      </c>
      <c r="AX243" s="55">
        <f t="shared" si="18"/>
        <v>12000000</v>
      </c>
      <c r="AY243" s="55">
        <f t="shared" si="19"/>
        <v>14000000</v>
      </c>
      <c r="AZ243" s="55">
        <f t="shared" si="20"/>
        <v>76000000</v>
      </c>
      <c r="BA243" s="55">
        <f t="shared" si="21"/>
        <v>112000000</v>
      </c>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row>
    <row r="244" spans="1:133" s="13" customFormat="1" ht="78.75" x14ac:dyDescent="0.25">
      <c r="A244" s="148" t="s">
        <v>28</v>
      </c>
      <c r="B244" s="56" t="s">
        <v>361</v>
      </c>
      <c r="C244" s="56" t="s">
        <v>507</v>
      </c>
      <c r="D244" s="153" t="s">
        <v>508</v>
      </c>
      <c r="E244" s="142">
        <v>5</v>
      </c>
      <c r="F244" s="142">
        <v>5</v>
      </c>
      <c r="G244" s="56" t="s">
        <v>509</v>
      </c>
      <c r="H244" s="56" t="s">
        <v>1380</v>
      </c>
      <c r="I244" s="108" t="s">
        <v>510</v>
      </c>
      <c r="J244" s="108" t="s">
        <v>1683</v>
      </c>
      <c r="K244" s="99">
        <v>5</v>
      </c>
      <c r="L244" s="178">
        <v>6</v>
      </c>
      <c r="M244" s="54" t="s">
        <v>337</v>
      </c>
      <c r="N244" s="100" t="s">
        <v>164</v>
      </c>
      <c r="O244" s="54" t="s">
        <v>511</v>
      </c>
      <c r="P244" s="74" t="s">
        <v>1677</v>
      </c>
      <c r="Q244" s="175" t="s">
        <v>1680</v>
      </c>
      <c r="R244" s="182">
        <v>0</v>
      </c>
      <c r="S244" s="178">
        <v>0</v>
      </c>
      <c r="T244" s="178">
        <v>1</v>
      </c>
      <c r="U244" s="183">
        <v>0</v>
      </c>
      <c r="V244" s="59"/>
      <c r="W244" s="60"/>
      <c r="X244" s="60"/>
      <c r="Y244" s="60"/>
      <c r="Z244" s="60"/>
      <c r="AA244" s="61"/>
      <c r="AB244" s="62"/>
      <c r="AC244" s="60"/>
      <c r="AD244" s="60"/>
      <c r="AE244" s="60"/>
      <c r="AF244" s="60"/>
      <c r="AG244" s="60"/>
      <c r="AH244" s="63"/>
      <c r="AI244" s="62">
        <v>7183000000</v>
      </c>
      <c r="AJ244" s="60"/>
      <c r="AK244" s="60"/>
      <c r="AL244" s="60"/>
      <c r="AM244" s="60"/>
      <c r="AN244" s="60"/>
      <c r="AO244" s="63"/>
      <c r="AP244" s="62"/>
      <c r="AQ244" s="60"/>
      <c r="AR244" s="60"/>
      <c r="AS244" s="60"/>
      <c r="AT244" s="60"/>
      <c r="AU244" s="60"/>
      <c r="AV244" s="64"/>
      <c r="AW244" s="55">
        <f t="shared" si="17"/>
        <v>0</v>
      </c>
      <c r="AX244" s="55">
        <f t="shared" si="18"/>
        <v>0</v>
      </c>
      <c r="AY244" s="55">
        <f t="shared" si="19"/>
        <v>7183000000</v>
      </c>
      <c r="AZ244" s="55">
        <f t="shared" si="20"/>
        <v>0</v>
      </c>
      <c r="BA244" s="55">
        <f t="shared" si="21"/>
        <v>7183000000</v>
      </c>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row>
    <row r="245" spans="1:133" s="2" customFormat="1" ht="78.75" x14ac:dyDescent="0.25">
      <c r="A245" s="148" t="s">
        <v>28</v>
      </c>
      <c r="B245" s="56" t="s">
        <v>361</v>
      </c>
      <c r="C245" s="56" t="s">
        <v>507</v>
      </c>
      <c r="D245" s="153" t="s">
        <v>508</v>
      </c>
      <c r="E245" s="142">
        <v>5</v>
      </c>
      <c r="F245" s="142">
        <v>5</v>
      </c>
      <c r="G245" s="56" t="s">
        <v>509</v>
      </c>
      <c r="H245" s="56" t="s">
        <v>1381</v>
      </c>
      <c r="I245" s="108" t="s">
        <v>512</v>
      </c>
      <c r="J245" s="108" t="s">
        <v>1683</v>
      </c>
      <c r="K245" s="99">
        <v>0</v>
      </c>
      <c r="L245" s="178">
        <v>1</v>
      </c>
      <c r="M245" s="54" t="s">
        <v>337</v>
      </c>
      <c r="N245" s="100" t="s">
        <v>164</v>
      </c>
      <c r="O245" s="54" t="s">
        <v>511</v>
      </c>
      <c r="P245" s="74" t="s">
        <v>39</v>
      </c>
      <c r="Q245" s="175" t="s">
        <v>1680</v>
      </c>
      <c r="R245" s="182">
        <v>0</v>
      </c>
      <c r="S245" s="178">
        <v>0</v>
      </c>
      <c r="T245" s="178">
        <v>0</v>
      </c>
      <c r="U245" s="183">
        <v>1</v>
      </c>
      <c r="V245" s="59"/>
      <c r="W245" s="60"/>
      <c r="X245" s="60"/>
      <c r="Y245" s="60"/>
      <c r="Z245" s="60"/>
      <c r="AA245" s="61"/>
      <c r="AB245" s="62"/>
      <c r="AC245" s="60"/>
      <c r="AD245" s="60"/>
      <c r="AE245" s="60"/>
      <c r="AF245" s="60"/>
      <c r="AG245" s="60"/>
      <c r="AH245" s="63"/>
      <c r="AI245" s="62"/>
      <c r="AJ245" s="60"/>
      <c r="AK245" s="60"/>
      <c r="AL245" s="60"/>
      <c r="AM245" s="60"/>
      <c r="AN245" s="60"/>
      <c r="AO245" s="63"/>
      <c r="AP245" s="62">
        <v>9742000000</v>
      </c>
      <c r="AQ245" s="60"/>
      <c r="AR245" s="60"/>
      <c r="AS245" s="60"/>
      <c r="AT245" s="60"/>
      <c r="AU245" s="60"/>
      <c r="AV245" s="64"/>
      <c r="AW245" s="55">
        <f t="shared" si="17"/>
        <v>0</v>
      </c>
      <c r="AX245" s="55">
        <f t="shared" si="18"/>
        <v>0</v>
      </c>
      <c r="AY245" s="55">
        <f t="shared" si="19"/>
        <v>0</v>
      </c>
      <c r="AZ245" s="55">
        <f t="shared" si="20"/>
        <v>9742000000</v>
      </c>
      <c r="BA245" s="55">
        <f t="shared" si="21"/>
        <v>9742000000</v>
      </c>
      <c r="BB245" s="27"/>
      <c r="BC245" s="27"/>
      <c r="BD245" s="27"/>
      <c r="BE245" s="27"/>
      <c r="BF245" s="27"/>
      <c r="BG245" s="27"/>
      <c r="BH245" s="27"/>
      <c r="BI245" s="27"/>
      <c r="BJ245" s="27"/>
      <c r="BK245" s="27"/>
      <c r="BL245" s="27"/>
      <c r="BM245" s="27"/>
      <c r="BN245" s="27"/>
      <c r="BO245" s="27"/>
      <c r="BP245" s="27"/>
      <c r="BQ245" s="27"/>
      <c r="BR245" s="27"/>
      <c r="BS245" s="27"/>
      <c r="BT245" s="27"/>
      <c r="BU245" s="27"/>
      <c r="BV245" s="27"/>
      <c r="BW245" s="27"/>
      <c r="BX245" s="27"/>
      <c r="BY245" s="27"/>
      <c r="BZ245" s="27"/>
      <c r="CA245" s="27"/>
      <c r="CB245" s="27"/>
      <c r="CC245" s="27"/>
      <c r="CD245" s="27"/>
      <c r="CE245" s="27"/>
      <c r="CF245" s="27"/>
      <c r="CG245" s="27"/>
      <c r="CH245" s="27"/>
      <c r="CI245" s="27"/>
      <c r="CJ245" s="27"/>
      <c r="CK245" s="27"/>
      <c r="CL245" s="27"/>
      <c r="CM245" s="27"/>
      <c r="CN245" s="27"/>
      <c r="CO245" s="27"/>
      <c r="CP245" s="27"/>
      <c r="CQ245" s="27"/>
      <c r="CR245" s="27"/>
      <c r="CS245" s="27"/>
      <c r="CT245" s="27"/>
      <c r="CU245" s="27"/>
      <c r="CV245" s="27"/>
      <c r="CW245" s="27"/>
      <c r="CX245" s="27"/>
      <c r="CY245" s="27"/>
      <c r="CZ245" s="27"/>
      <c r="DA245" s="27"/>
      <c r="DB245" s="27"/>
      <c r="DC245" s="27"/>
      <c r="DD245" s="27"/>
      <c r="DE245" s="27"/>
      <c r="DF245" s="27"/>
      <c r="DG245" s="27"/>
      <c r="DH245" s="27"/>
      <c r="DI245" s="27"/>
      <c r="DJ245" s="27"/>
      <c r="DK245" s="27"/>
      <c r="DL245" s="27"/>
      <c r="DM245" s="27"/>
      <c r="DN245" s="27"/>
      <c r="DO245" s="27"/>
      <c r="DP245" s="27"/>
      <c r="DQ245" s="27"/>
      <c r="DR245" s="27"/>
      <c r="DS245" s="27"/>
      <c r="DT245" s="27"/>
      <c r="DU245" s="27"/>
      <c r="DV245" s="27"/>
      <c r="DW245" s="27"/>
      <c r="DX245" s="27"/>
      <c r="DY245" s="27"/>
      <c r="DZ245" s="27"/>
      <c r="EA245" s="27"/>
      <c r="EB245" s="27"/>
      <c r="EC245" s="27"/>
    </row>
    <row r="246" spans="1:133" s="13" customFormat="1" ht="78.75" x14ac:dyDescent="0.25">
      <c r="A246" s="148" t="s">
        <v>28</v>
      </c>
      <c r="B246" s="56" t="s">
        <v>361</v>
      </c>
      <c r="C246" s="56" t="s">
        <v>507</v>
      </c>
      <c r="D246" s="153" t="s">
        <v>508</v>
      </c>
      <c r="E246" s="142">
        <v>5</v>
      </c>
      <c r="F246" s="142">
        <v>5</v>
      </c>
      <c r="G246" s="56" t="s">
        <v>513</v>
      </c>
      <c r="H246" s="56" t="s">
        <v>1382</v>
      </c>
      <c r="I246" s="108" t="s">
        <v>514</v>
      </c>
      <c r="J246" s="108" t="s">
        <v>1682</v>
      </c>
      <c r="K246" s="178">
        <v>100</v>
      </c>
      <c r="L246" s="179">
        <v>100</v>
      </c>
      <c r="M246" s="54" t="s">
        <v>337</v>
      </c>
      <c r="N246" s="100" t="s">
        <v>164</v>
      </c>
      <c r="O246" s="54" t="s">
        <v>511</v>
      </c>
      <c r="P246" s="75" t="s">
        <v>42</v>
      </c>
      <c r="Q246" s="54" t="s">
        <v>1679</v>
      </c>
      <c r="R246" s="182">
        <v>100</v>
      </c>
      <c r="S246" s="178">
        <v>100</v>
      </c>
      <c r="T246" s="178">
        <v>100</v>
      </c>
      <c r="U246" s="183">
        <v>100</v>
      </c>
      <c r="V246" s="59">
        <v>12168000000</v>
      </c>
      <c r="W246" s="60"/>
      <c r="X246" s="60"/>
      <c r="Y246" s="60"/>
      <c r="Z246" s="60"/>
      <c r="AA246" s="61"/>
      <c r="AB246" s="62">
        <f>+(900000000+10650000000)/2</f>
        <v>5775000000</v>
      </c>
      <c r="AC246" s="60"/>
      <c r="AD246" s="60"/>
      <c r="AE246" s="60"/>
      <c r="AF246" s="60"/>
      <c r="AG246" s="60"/>
      <c r="AH246" s="63"/>
      <c r="AI246" s="62">
        <f>945000000/2</f>
        <v>472500000</v>
      </c>
      <c r="AJ246" s="60"/>
      <c r="AK246" s="60"/>
      <c r="AL246" s="60"/>
      <c r="AM246" s="60"/>
      <c r="AN246" s="60"/>
      <c r="AO246" s="63"/>
      <c r="AP246" s="62">
        <f>992000000/2</f>
        <v>496000000</v>
      </c>
      <c r="AQ246" s="60"/>
      <c r="AR246" s="60"/>
      <c r="AS246" s="60"/>
      <c r="AT246" s="60"/>
      <c r="AU246" s="60"/>
      <c r="AV246" s="64"/>
      <c r="AW246" s="55">
        <f t="shared" si="17"/>
        <v>12168000000</v>
      </c>
      <c r="AX246" s="55">
        <f t="shared" si="18"/>
        <v>5775000000</v>
      </c>
      <c r="AY246" s="55">
        <f t="shared" si="19"/>
        <v>472500000</v>
      </c>
      <c r="AZ246" s="55">
        <f t="shared" si="20"/>
        <v>496000000</v>
      </c>
      <c r="BA246" s="55">
        <f t="shared" si="21"/>
        <v>18911500000</v>
      </c>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row>
    <row r="247" spans="1:133" s="2" customFormat="1" ht="78.75" x14ac:dyDescent="0.25">
      <c r="A247" s="148" t="s">
        <v>28</v>
      </c>
      <c r="B247" s="56" t="s">
        <v>361</v>
      </c>
      <c r="C247" s="56" t="s">
        <v>507</v>
      </c>
      <c r="D247" s="153" t="s">
        <v>508</v>
      </c>
      <c r="E247" s="142">
        <v>5</v>
      </c>
      <c r="F247" s="142">
        <v>5</v>
      </c>
      <c r="G247" s="56" t="s">
        <v>513</v>
      </c>
      <c r="H247" s="56" t="s">
        <v>1383</v>
      </c>
      <c r="I247" s="108" t="s">
        <v>515</v>
      </c>
      <c r="J247" s="108" t="s">
        <v>1683</v>
      </c>
      <c r="K247" s="99">
        <v>14</v>
      </c>
      <c r="L247" s="178">
        <v>18</v>
      </c>
      <c r="M247" s="54" t="s">
        <v>337</v>
      </c>
      <c r="N247" s="100" t="s">
        <v>164</v>
      </c>
      <c r="O247" s="54" t="s">
        <v>511</v>
      </c>
      <c r="P247" s="74" t="s">
        <v>1677</v>
      </c>
      <c r="Q247" s="175" t="s">
        <v>1680</v>
      </c>
      <c r="R247" s="182">
        <v>0</v>
      </c>
      <c r="S247" s="178">
        <v>1</v>
      </c>
      <c r="T247" s="178">
        <v>1</v>
      </c>
      <c r="U247" s="183">
        <v>2</v>
      </c>
      <c r="V247" s="59"/>
      <c r="W247" s="60"/>
      <c r="X247" s="60"/>
      <c r="Y247" s="60"/>
      <c r="Z247" s="60"/>
      <c r="AA247" s="61"/>
      <c r="AB247" s="62">
        <f>+(900000000+10650000000)/2</f>
        <v>5775000000</v>
      </c>
      <c r="AC247" s="60"/>
      <c r="AD247" s="60"/>
      <c r="AE247" s="60"/>
      <c r="AF247" s="60"/>
      <c r="AG247" s="60"/>
      <c r="AH247" s="63"/>
      <c r="AI247" s="62">
        <f>945000000/2</f>
        <v>472500000</v>
      </c>
      <c r="AJ247" s="60"/>
      <c r="AK247" s="60"/>
      <c r="AL247" s="60"/>
      <c r="AM247" s="60"/>
      <c r="AN247" s="60"/>
      <c r="AO247" s="63"/>
      <c r="AP247" s="62">
        <f>992000000/2</f>
        <v>496000000</v>
      </c>
      <c r="AQ247" s="60"/>
      <c r="AR247" s="60"/>
      <c r="AS247" s="60"/>
      <c r="AT247" s="60"/>
      <c r="AU247" s="60"/>
      <c r="AV247" s="64"/>
      <c r="AW247" s="55">
        <f t="shared" si="17"/>
        <v>0</v>
      </c>
      <c r="AX247" s="55">
        <f t="shared" si="18"/>
        <v>5775000000</v>
      </c>
      <c r="AY247" s="55">
        <f t="shared" si="19"/>
        <v>472500000</v>
      </c>
      <c r="AZ247" s="55">
        <f t="shared" si="20"/>
        <v>496000000</v>
      </c>
      <c r="BA247" s="55">
        <f t="shared" si="21"/>
        <v>6743500000</v>
      </c>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7"/>
      <c r="CA247" s="27"/>
      <c r="CB247" s="27"/>
      <c r="CC247" s="27"/>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7"/>
      <c r="DG247" s="27"/>
      <c r="DH247" s="27"/>
      <c r="DI247" s="27"/>
      <c r="DJ247" s="27"/>
      <c r="DK247" s="27"/>
      <c r="DL247" s="27"/>
      <c r="DM247" s="27"/>
      <c r="DN247" s="27"/>
      <c r="DO247" s="27"/>
      <c r="DP247" s="27"/>
      <c r="DQ247" s="27"/>
      <c r="DR247" s="27"/>
      <c r="DS247" s="27"/>
      <c r="DT247" s="27"/>
      <c r="DU247" s="27"/>
      <c r="DV247" s="27"/>
      <c r="DW247" s="27"/>
      <c r="DX247" s="27"/>
      <c r="DY247" s="27"/>
      <c r="DZ247" s="27"/>
      <c r="EA247" s="27"/>
      <c r="EB247" s="27"/>
      <c r="EC247" s="27"/>
    </row>
    <row r="248" spans="1:133" s="13" customFormat="1" ht="78.75" x14ac:dyDescent="0.25">
      <c r="A248" s="148" t="s">
        <v>28</v>
      </c>
      <c r="B248" s="56" t="s">
        <v>361</v>
      </c>
      <c r="C248" s="56" t="s">
        <v>507</v>
      </c>
      <c r="D248" s="153" t="s">
        <v>508</v>
      </c>
      <c r="E248" s="142">
        <v>5</v>
      </c>
      <c r="F248" s="142">
        <v>5</v>
      </c>
      <c r="G248" s="108" t="s">
        <v>516</v>
      </c>
      <c r="H248" s="108" t="s">
        <v>1384</v>
      </c>
      <c r="I248" s="108" t="s">
        <v>517</v>
      </c>
      <c r="J248" s="108" t="s">
        <v>1682</v>
      </c>
      <c r="K248" s="178">
        <v>100</v>
      </c>
      <c r="L248" s="179">
        <v>100</v>
      </c>
      <c r="M248" s="54" t="s">
        <v>337</v>
      </c>
      <c r="N248" s="100" t="s">
        <v>164</v>
      </c>
      <c r="O248" s="54" t="s">
        <v>511</v>
      </c>
      <c r="P248" s="75" t="s">
        <v>42</v>
      </c>
      <c r="Q248" s="54" t="s">
        <v>1679</v>
      </c>
      <c r="R248" s="182">
        <v>100</v>
      </c>
      <c r="S248" s="178">
        <v>100</v>
      </c>
      <c r="T248" s="178">
        <v>100</v>
      </c>
      <c r="U248" s="183">
        <v>100</v>
      </c>
      <c r="V248" s="59">
        <v>1000000000</v>
      </c>
      <c r="W248" s="60"/>
      <c r="X248" s="60"/>
      <c r="Y248" s="60"/>
      <c r="Z248" s="60"/>
      <c r="AA248" s="61"/>
      <c r="AB248" s="62">
        <v>750000000</v>
      </c>
      <c r="AC248" s="60"/>
      <c r="AD248" s="60"/>
      <c r="AE248" s="60"/>
      <c r="AF248" s="60"/>
      <c r="AG248" s="60"/>
      <c r="AH248" s="63"/>
      <c r="AI248" s="62">
        <v>788000000</v>
      </c>
      <c r="AJ248" s="60"/>
      <c r="AK248" s="60"/>
      <c r="AL248" s="60"/>
      <c r="AM248" s="60"/>
      <c r="AN248" s="60"/>
      <c r="AO248" s="63"/>
      <c r="AP248" s="62">
        <v>827000000</v>
      </c>
      <c r="AQ248" s="60"/>
      <c r="AR248" s="60"/>
      <c r="AS248" s="60"/>
      <c r="AT248" s="60"/>
      <c r="AU248" s="60"/>
      <c r="AV248" s="64"/>
      <c r="AW248" s="55">
        <f t="shared" si="17"/>
        <v>1000000000</v>
      </c>
      <c r="AX248" s="55">
        <f t="shared" si="18"/>
        <v>750000000</v>
      </c>
      <c r="AY248" s="55">
        <f t="shared" si="19"/>
        <v>788000000</v>
      </c>
      <c r="AZ248" s="55">
        <f t="shared" si="20"/>
        <v>827000000</v>
      </c>
      <c r="BA248" s="55">
        <f t="shared" si="21"/>
        <v>3365000000</v>
      </c>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row>
    <row r="249" spans="1:133" s="17" customFormat="1" ht="78.75" x14ac:dyDescent="0.25">
      <c r="A249" s="148" t="s">
        <v>28</v>
      </c>
      <c r="B249" s="56" t="s">
        <v>361</v>
      </c>
      <c r="C249" s="56" t="s">
        <v>507</v>
      </c>
      <c r="D249" s="153" t="s">
        <v>508</v>
      </c>
      <c r="E249" s="142">
        <v>5</v>
      </c>
      <c r="F249" s="142">
        <v>5</v>
      </c>
      <c r="G249" s="103" t="s">
        <v>518</v>
      </c>
      <c r="H249" s="103" t="s">
        <v>1385</v>
      </c>
      <c r="I249" s="108" t="s">
        <v>519</v>
      </c>
      <c r="J249" s="108" t="s">
        <v>1682</v>
      </c>
      <c r="K249" s="178">
        <v>100</v>
      </c>
      <c r="L249" s="179">
        <v>100</v>
      </c>
      <c r="M249" s="54" t="s">
        <v>337</v>
      </c>
      <c r="N249" s="100" t="s">
        <v>164</v>
      </c>
      <c r="O249" s="54" t="s">
        <v>511</v>
      </c>
      <c r="P249" s="75" t="s">
        <v>42</v>
      </c>
      <c r="Q249" s="54" t="s">
        <v>1679</v>
      </c>
      <c r="R249" s="182">
        <v>100</v>
      </c>
      <c r="S249" s="178">
        <v>100</v>
      </c>
      <c r="T249" s="178">
        <v>100</v>
      </c>
      <c r="U249" s="183">
        <v>100</v>
      </c>
      <c r="V249" s="59">
        <v>950000000</v>
      </c>
      <c r="W249" s="60"/>
      <c r="X249" s="60"/>
      <c r="Y249" s="60"/>
      <c r="Z249" s="60"/>
      <c r="AA249" s="61"/>
      <c r="AB249" s="62">
        <v>1200000000</v>
      </c>
      <c r="AC249" s="60"/>
      <c r="AD249" s="60"/>
      <c r="AE249" s="60"/>
      <c r="AF249" s="60"/>
      <c r="AG249" s="60"/>
      <c r="AH249" s="63"/>
      <c r="AI249" s="62">
        <v>1260000000</v>
      </c>
      <c r="AJ249" s="60"/>
      <c r="AK249" s="60"/>
      <c r="AL249" s="60"/>
      <c r="AM249" s="60"/>
      <c r="AN249" s="60"/>
      <c r="AO249" s="63"/>
      <c r="AP249" s="62">
        <v>1323000000</v>
      </c>
      <c r="AQ249" s="60"/>
      <c r="AR249" s="60"/>
      <c r="AS249" s="60"/>
      <c r="AT249" s="60"/>
      <c r="AU249" s="60"/>
      <c r="AV249" s="64"/>
      <c r="AW249" s="55">
        <f t="shared" si="17"/>
        <v>950000000</v>
      </c>
      <c r="AX249" s="55">
        <f t="shared" si="18"/>
        <v>1200000000</v>
      </c>
      <c r="AY249" s="55">
        <f t="shared" si="19"/>
        <v>1260000000</v>
      </c>
      <c r="AZ249" s="55">
        <f t="shared" si="20"/>
        <v>1323000000</v>
      </c>
      <c r="BA249" s="55">
        <f t="shared" si="21"/>
        <v>4733000000</v>
      </c>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row>
    <row r="250" spans="1:133" s="13" customFormat="1" ht="63" x14ac:dyDescent="0.25">
      <c r="A250" s="148" t="s">
        <v>28</v>
      </c>
      <c r="B250" s="56" t="s">
        <v>361</v>
      </c>
      <c r="C250" s="56" t="s">
        <v>520</v>
      </c>
      <c r="D250" s="110" t="s">
        <v>449</v>
      </c>
      <c r="E250" s="143">
        <v>0.15</v>
      </c>
      <c r="F250" s="143">
        <v>0.1</v>
      </c>
      <c r="G250" s="103" t="s">
        <v>521</v>
      </c>
      <c r="H250" s="103" t="s">
        <v>1386</v>
      </c>
      <c r="I250" s="108" t="s">
        <v>522</v>
      </c>
      <c r="J250" s="108" t="s">
        <v>1683</v>
      </c>
      <c r="K250" s="99">
        <v>3</v>
      </c>
      <c r="L250" s="178">
        <v>12</v>
      </c>
      <c r="M250" s="108" t="s">
        <v>337</v>
      </c>
      <c r="N250" s="100" t="s">
        <v>369</v>
      </c>
      <c r="O250" s="54" t="s">
        <v>360</v>
      </c>
      <c r="P250" s="74" t="s">
        <v>39</v>
      </c>
      <c r="Q250" s="175" t="s">
        <v>1680</v>
      </c>
      <c r="R250" s="182">
        <v>3</v>
      </c>
      <c r="S250" s="178">
        <v>3</v>
      </c>
      <c r="T250" s="178">
        <v>3</v>
      </c>
      <c r="U250" s="183">
        <v>3</v>
      </c>
      <c r="V250" s="59">
        <v>50000000</v>
      </c>
      <c r="W250" s="60"/>
      <c r="X250" s="60"/>
      <c r="Y250" s="60"/>
      <c r="Z250" s="60"/>
      <c r="AA250" s="61"/>
      <c r="AB250" s="62">
        <v>250000000</v>
      </c>
      <c r="AC250" s="60"/>
      <c r="AD250" s="60"/>
      <c r="AE250" s="60"/>
      <c r="AF250" s="60"/>
      <c r="AG250" s="60"/>
      <c r="AH250" s="63"/>
      <c r="AI250" s="62">
        <v>263000000</v>
      </c>
      <c r="AJ250" s="60"/>
      <c r="AK250" s="60"/>
      <c r="AL250" s="60"/>
      <c r="AM250" s="60"/>
      <c r="AN250" s="60"/>
      <c r="AO250" s="63"/>
      <c r="AP250" s="62">
        <v>276000000</v>
      </c>
      <c r="AQ250" s="60"/>
      <c r="AR250" s="60"/>
      <c r="AS250" s="60"/>
      <c r="AT250" s="60"/>
      <c r="AU250" s="60"/>
      <c r="AV250" s="64"/>
      <c r="AW250" s="55">
        <f t="shared" si="17"/>
        <v>50000000</v>
      </c>
      <c r="AX250" s="55">
        <f t="shared" si="18"/>
        <v>250000000</v>
      </c>
      <c r="AY250" s="55">
        <f t="shared" si="19"/>
        <v>263000000</v>
      </c>
      <c r="AZ250" s="55">
        <f t="shared" si="20"/>
        <v>276000000</v>
      </c>
      <c r="BA250" s="55">
        <f t="shared" si="21"/>
        <v>839000000</v>
      </c>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row>
    <row r="251" spans="1:133" s="17" customFormat="1" ht="94.5" x14ac:dyDescent="0.25">
      <c r="A251" s="148" t="s">
        <v>28</v>
      </c>
      <c r="B251" s="56" t="s">
        <v>361</v>
      </c>
      <c r="C251" s="56" t="s">
        <v>520</v>
      </c>
      <c r="D251" s="110" t="s">
        <v>449</v>
      </c>
      <c r="E251" s="143">
        <v>0.15</v>
      </c>
      <c r="F251" s="143">
        <v>0.1</v>
      </c>
      <c r="G251" s="103" t="s">
        <v>523</v>
      </c>
      <c r="H251" s="103" t="s">
        <v>1387</v>
      </c>
      <c r="I251" s="108" t="s">
        <v>524</v>
      </c>
      <c r="J251" s="108" t="s">
        <v>1685</v>
      </c>
      <c r="K251" s="99">
        <v>2</v>
      </c>
      <c r="L251" s="178">
        <v>10</v>
      </c>
      <c r="M251" s="108" t="s">
        <v>337</v>
      </c>
      <c r="N251" s="108" t="s">
        <v>369</v>
      </c>
      <c r="O251" s="54" t="s">
        <v>360</v>
      </c>
      <c r="P251" s="81" t="s">
        <v>39</v>
      </c>
      <c r="Q251" s="174" t="s">
        <v>1680</v>
      </c>
      <c r="R251" s="182">
        <v>0</v>
      </c>
      <c r="S251" s="178">
        <v>2</v>
      </c>
      <c r="T251" s="178">
        <v>3</v>
      </c>
      <c r="U251" s="183">
        <v>5</v>
      </c>
      <c r="V251" s="59"/>
      <c r="W251" s="60"/>
      <c r="X251" s="60"/>
      <c r="Y251" s="60"/>
      <c r="Z251" s="60"/>
      <c r="AA251" s="61"/>
      <c r="AB251" s="62">
        <v>450000000</v>
      </c>
      <c r="AC251" s="60"/>
      <c r="AD251" s="60"/>
      <c r="AE251" s="60"/>
      <c r="AF251" s="60"/>
      <c r="AG251" s="60"/>
      <c r="AH251" s="63"/>
      <c r="AI251" s="62">
        <v>473000000</v>
      </c>
      <c r="AJ251" s="60"/>
      <c r="AK251" s="60"/>
      <c r="AL251" s="60"/>
      <c r="AM251" s="60"/>
      <c r="AN251" s="60"/>
      <c r="AO251" s="63"/>
      <c r="AP251" s="62">
        <v>496000000</v>
      </c>
      <c r="AQ251" s="60"/>
      <c r="AR251" s="60"/>
      <c r="AS251" s="60"/>
      <c r="AT251" s="60"/>
      <c r="AU251" s="60"/>
      <c r="AV251" s="64"/>
      <c r="AW251" s="55">
        <f t="shared" si="17"/>
        <v>0</v>
      </c>
      <c r="AX251" s="55">
        <f t="shared" si="18"/>
        <v>450000000</v>
      </c>
      <c r="AY251" s="55">
        <f t="shared" si="19"/>
        <v>473000000</v>
      </c>
      <c r="AZ251" s="55">
        <f t="shared" si="20"/>
        <v>496000000</v>
      </c>
      <c r="BA251" s="55">
        <f t="shared" si="21"/>
        <v>1419000000</v>
      </c>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row>
    <row r="252" spans="1:133" s="13" customFormat="1" ht="78.75" x14ac:dyDescent="0.25">
      <c r="A252" s="148" t="s">
        <v>28</v>
      </c>
      <c r="B252" s="56" t="s">
        <v>361</v>
      </c>
      <c r="C252" s="56" t="s">
        <v>520</v>
      </c>
      <c r="D252" s="110" t="s">
        <v>449</v>
      </c>
      <c r="E252" s="143">
        <v>0.15</v>
      </c>
      <c r="F252" s="143">
        <v>0.1</v>
      </c>
      <c r="G252" s="103" t="s">
        <v>525</v>
      </c>
      <c r="H252" s="103" t="s">
        <v>1388</v>
      </c>
      <c r="I252" s="108" t="s">
        <v>526</v>
      </c>
      <c r="J252" s="108" t="s">
        <v>1685</v>
      </c>
      <c r="K252" s="99">
        <v>50</v>
      </c>
      <c r="L252" s="178">
        <v>200</v>
      </c>
      <c r="M252" s="108" t="s">
        <v>337</v>
      </c>
      <c r="N252" s="108" t="s">
        <v>369</v>
      </c>
      <c r="O252" s="54" t="s">
        <v>360</v>
      </c>
      <c r="P252" s="74" t="s">
        <v>39</v>
      </c>
      <c r="Q252" s="175" t="s">
        <v>1680</v>
      </c>
      <c r="R252" s="182">
        <v>20</v>
      </c>
      <c r="S252" s="178">
        <v>30</v>
      </c>
      <c r="T252" s="178">
        <v>75</v>
      </c>
      <c r="U252" s="183">
        <v>75</v>
      </c>
      <c r="V252" s="59">
        <v>200000000</v>
      </c>
      <c r="W252" s="60"/>
      <c r="X252" s="60"/>
      <c r="Y252" s="60"/>
      <c r="Z252" s="60"/>
      <c r="AA252" s="61"/>
      <c r="AB252" s="62">
        <v>1200000000</v>
      </c>
      <c r="AC252" s="60"/>
      <c r="AD252" s="60"/>
      <c r="AE252" s="60"/>
      <c r="AF252" s="60"/>
      <c r="AG252" s="60"/>
      <c r="AH252" s="63"/>
      <c r="AI252" s="62">
        <v>1260000000</v>
      </c>
      <c r="AJ252" s="60"/>
      <c r="AK252" s="60"/>
      <c r="AL252" s="60"/>
      <c r="AM252" s="60"/>
      <c r="AN252" s="60"/>
      <c r="AO252" s="63"/>
      <c r="AP252" s="62">
        <v>1323000000</v>
      </c>
      <c r="AQ252" s="60"/>
      <c r="AR252" s="60"/>
      <c r="AS252" s="60"/>
      <c r="AT252" s="60"/>
      <c r="AU252" s="60"/>
      <c r="AV252" s="64"/>
      <c r="AW252" s="55">
        <f t="shared" si="17"/>
        <v>200000000</v>
      </c>
      <c r="AX252" s="55">
        <f t="shared" si="18"/>
        <v>1200000000</v>
      </c>
      <c r="AY252" s="55">
        <f t="shared" si="19"/>
        <v>1260000000</v>
      </c>
      <c r="AZ252" s="55">
        <f t="shared" si="20"/>
        <v>1323000000</v>
      </c>
      <c r="BA252" s="55">
        <f t="shared" si="21"/>
        <v>3983000000</v>
      </c>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row>
    <row r="253" spans="1:133" s="17" customFormat="1" ht="94.5" x14ac:dyDescent="0.25">
      <c r="A253" s="148" t="s">
        <v>28</v>
      </c>
      <c r="B253" s="56" t="s">
        <v>361</v>
      </c>
      <c r="C253" s="56" t="s">
        <v>520</v>
      </c>
      <c r="D253" s="110" t="s">
        <v>449</v>
      </c>
      <c r="E253" s="143">
        <v>0.15</v>
      </c>
      <c r="F253" s="143">
        <v>0.1</v>
      </c>
      <c r="G253" s="103" t="s">
        <v>527</v>
      </c>
      <c r="H253" s="103" t="s">
        <v>1389</v>
      </c>
      <c r="I253" s="108" t="s">
        <v>528</v>
      </c>
      <c r="J253" s="108" t="s">
        <v>1685</v>
      </c>
      <c r="K253" s="99">
        <v>0</v>
      </c>
      <c r="L253" s="178">
        <v>20</v>
      </c>
      <c r="M253" s="108" t="s">
        <v>337</v>
      </c>
      <c r="N253" s="108" t="s">
        <v>369</v>
      </c>
      <c r="O253" s="54" t="s">
        <v>360</v>
      </c>
      <c r="P253" s="81" t="s">
        <v>39</v>
      </c>
      <c r="Q253" s="174" t="s">
        <v>1680</v>
      </c>
      <c r="R253" s="182">
        <v>0</v>
      </c>
      <c r="S253" s="178">
        <v>5</v>
      </c>
      <c r="T253" s="178">
        <v>5</v>
      </c>
      <c r="U253" s="183">
        <v>10</v>
      </c>
      <c r="V253" s="59"/>
      <c r="W253" s="60"/>
      <c r="X253" s="60"/>
      <c r="Y253" s="60"/>
      <c r="Z253" s="60"/>
      <c r="AA253" s="61"/>
      <c r="AB253" s="62">
        <v>350000000</v>
      </c>
      <c r="AC253" s="60"/>
      <c r="AD253" s="60"/>
      <c r="AE253" s="60"/>
      <c r="AF253" s="60"/>
      <c r="AG253" s="60"/>
      <c r="AH253" s="63"/>
      <c r="AI253" s="62">
        <v>368000000</v>
      </c>
      <c r="AJ253" s="60"/>
      <c r="AK253" s="60"/>
      <c r="AL253" s="60"/>
      <c r="AM253" s="60"/>
      <c r="AN253" s="60"/>
      <c r="AO253" s="63"/>
      <c r="AP253" s="62">
        <v>386000000</v>
      </c>
      <c r="AQ253" s="60"/>
      <c r="AR253" s="60"/>
      <c r="AS253" s="60"/>
      <c r="AT253" s="60"/>
      <c r="AU253" s="60"/>
      <c r="AV253" s="64"/>
      <c r="AW253" s="55">
        <f t="shared" si="17"/>
        <v>0</v>
      </c>
      <c r="AX253" s="55">
        <f t="shared" si="18"/>
        <v>350000000</v>
      </c>
      <c r="AY253" s="55">
        <f t="shared" si="19"/>
        <v>368000000</v>
      </c>
      <c r="AZ253" s="55">
        <f t="shared" si="20"/>
        <v>386000000</v>
      </c>
      <c r="BA253" s="55">
        <f t="shared" si="21"/>
        <v>1104000000</v>
      </c>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row>
    <row r="254" spans="1:133" s="13" customFormat="1" ht="126" x14ac:dyDescent="0.25">
      <c r="A254" s="148" t="s">
        <v>28</v>
      </c>
      <c r="B254" s="56" t="s">
        <v>361</v>
      </c>
      <c r="C254" s="56" t="s">
        <v>520</v>
      </c>
      <c r="D254" s="110" t="s">
        <v>449</v>
      </c>
      <c r="E254" s="143">
        <v>0.15</v>
      </c>
      <c r="F254" s="143">
        <v>0.1</v>
      </c>
      <c r="G254" s="103" t="s">
        <v>529</v>
      </c>
      <c r="H254" s="103" t="s">
        <v>1390</v>
      </c>
      <c r="I254" s="108" t="s">
        <v>530</v>
      </c>
      <c r="J254" s="108" t="s">
        <v>1685</v>
      </c>
      <c r="K254" s="99">
        <v>100</v>
      </c>
      <c r="L254" s="178">
        <v>1000</v>
      </c>
      <c r="M254" s="108" t="s">
        <v>337</v>
      </c>
      <c r="N254" s="108" t="s">
        <v>369</v>
      </c>
      <c r="O254" s="54" t="s">
        <v>360</v>
      </c>
      <c r="P254" s="74" t="s">
        <v>39</v>
      </c>
      <c r="Q254" s="175" t="s">
        <v>1680</v>
      </c>
      <c r="R254" s="182">
        <v>100</v>
      </c>
      <c r="S254" s="178">
        <v>200</v>
      </c>
      <c r="T254" s="178">
        <v>350</v>
      </c>
      <c r="U254" s="183">
        <v>350</v>
      </c>
      <c r="V254" s="59">
        <v>70000000</v>
      </c>
      <c r="W254" s="60"/>
      <c r="X254" s="60"/>
      <c r="Y254" s="60"/>
      <c r="Z254" s="60"/>
      <c r="AA254" s="61"/>
      <c r="AB254" s="62">
        <v>400000000</v>
      </c>
      <c r="AC254" s="60"/>
      <c r="AD254" s="60"/>
      <c r="AE254" s="60"/>
      <c r="AF254" s="60"/>
      <c r="AG254" s="60"/>
      <c r="AH254" s="63"/>
      <c r="AI254" s="62">
        <v>420000000</v>
      </c>
      <c r="AJ254" s="60"/>
      <c r="AK254" s="60"/>
      <c r="AL254" s="60"/>
      <c r="AM254" s="60"/>
      <c r="AN254" s="60"/>
      <c r="AO254" s="63"/>
      <c r="AP254" s="62">
        <v>441000000</v>
      </c>
      <c r="AQ254" s="60"/>
      <c r="AR254" s="60"/>
      <c r="AS254" s="60"/>
      <c r="AT254" s="60"/>
      <c r="AU254" s="60"/>
      <c r="AV254" s="64"/>
      <c r="AW254" s="55">
        <f t="shared" si="17"/>
        <v>70000000</v>
      </c>
      <c r="AX254" s="55">
        <f t="shared" si="18"/>
        <v>400000000</v>
      </c>
      <c r="AY254" s="55">
        <f t="shared" si="19"/>
        <v>420000000</v>
      </c>
      <c r="AZ254" s="55">
        <f t="shared" si="20"/>
        <v>441000000</v>
      </c>
      <c r="BA254" s="55">
        <f t="shared" si="21"/>
        <v>1331000000</v>
      </c>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row>
    <row r="255" spans="1:133" s="17" customFormat="1" ht="126" x14ac:dyDescent="0.25">
      <c r="A255" s="148" t="s">
        <v>28</v>
      </c>
      <c r="B255" s="56" t="s">
        <v>361</v>
      </c>
      <c r="C255" s="56" t="s">
        <v>520</v>
      </c>
      <c r="D255" s="110" t="s">
        <v>449</v>
      </c>
      <c r="E255" s="143">
        <v>0.15</v>
      </c>
      <c r="F255" s="143">
        <v>0.1</v>
      </c>
      <c r="G255" s="103" t="s">
        <v>531</v>
      </c>
      <c r="H255" s="103" t="s">
        <v>1391</v>
      </c>
      <c r="I255" s="108" t="s">
        <v>532</v>
      </c>
      <c r="J255" s="108" t="s">
        <v>1685</v>
      </c>
      <c r="K255" s="99">
        <v>0</v>
      </c>
      <c r="L255" s="178">
        <v>5</v>
      </c>
      <c r="M255" s="108" t="s">
        <v>337</v>
      </c>
      <c r="N255" s="100" t="s">
        <v>369</v>
      </c>
      <c r="O255" s="54" t="s">
        <v>360</v>
      </c>
      <c r="P255" s="81" t="s">
        <v>39</v>
      </c>
      <c r="Q255" s="174" t="s">
        <v>1680</v>
      </c>
      <c r="R255" s="182">
        <v>0</v>
      </c>
      <c r="S255" s="178">
        <v>1</v>
      </c>
      <c r="T255" s="178">
        <v>2</v>
      </c>
      <c r="U255" s="183">
        <v>2</v>
      </c>
      <c r="V255" s="59"/>
      <c r="W255" s="60"/>
      <c r="X255" s="60"/>
      <c r="Y255" s="60"/>
      <c r="Z255" s="60"/>
      <c r="AA255" s="61"/>
      <c r="AB255" s="62">
        <v>1500000000</v>
      </c>
      <c r="AC255" s="60"/>
      <c r="AD255" s="60"/>
      <c r="AE255" s="60"/>
      <c r="AF255" s="60"/>
      <c r="AG255" s="60"/>
      <c r="AH255" s="63"/>
      <c r="AI255" s="62">
        <v>1575000000</v>
      </c>
      <c r="AJ255" s="60"/>
      <c r="AK255" s="60"/>
      <c r="AL255" s="60"/>
      <c r="AM255" s="60"/>
      <c r="AN255" s="60"/>
      <c r="AO255" s="63"/>
      <c r="AP255" s="62">
        <v>1654000000</v>
      </c>
      <c r="AQ255" s="60"/>
      <c r="AR255" s="60"/>
      <c r="AS255" s="60"/>
      <c r="AT255" s="60"/>
      <c r="AU255" s="60"/>
      <c r="AV255" s="64"/>
      <c r="AW255" s="55">
        <f t="shared" si="17"/>
        <v>0</v>
      </c>
      <c r="AX255" s="55">
        <f t="shared" si="18"/>
        <v>1500000000</v>
      </c>
      <c r="AY255" s="55">
        <f t="shared" si="19"/>
        <v>1575000000</v>
      </c>
      <c r="AZ255" s="55">
        <f t="shared" si="20"/>
        <v>1654000000</v>
      </c>
      <c r="BA255" s="55">
        <f t="shared" si="21"/>
        <v>4729000000</v>
      </c>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row>
    <row r="256" spans="1:133" s="31" customFormat="1" ht="63" x14ac:dyDescent="0.25">
      <c r="A256" s="130" t="s">
        <v>533</v>
      </c>
      <c r="B256" s="131" t="s">
        <v>534</v>
      </c>
      <c r="C256" s="110" t="s">
        <v>535</v>
      </c>
      <c r="D256" s="110" t="s">
        <v>536</v>
      </c>
      <c r="E256" s="121">
        <v>0.55300000000000005</v>
      </c>
      <c r="F256" s="121">
        <v>0.53</v>
      </c>
      <c r="G256" s="139" t="s">
        <v>537</v>
      </c>
      <c r="H256" s="139" t="s">
        <v>1392</v>
      </c>
      <c r="I256" s="103" t="s">
        <v>538</v>
      </c>
      <c r="J256" s="103" t="s">
        <v>1683</v>
      </c>
      <c r="K256" s="56">
        <v>139</v>
      </c>
      <c r="L256" s="86">
        <v>600</v>
      </c>
      <c r="M256" s="56" t="s">
        <v>333</v>
      </c>
      <c r="N256" s="100" t="s">
        <v>539</v>
      </c>
      <c r="O256" s="54" t="s">
        <v>540</v>
      </c>
      <c r="P256" s="58" t="s">
        <v>39</v>
      </c>
      <c r="Q256" s="171" t="s">
        <v>1680</v>
      </c>
      <c r="R256" s="182">
        <v>50</v>
      </c>
      <c r="S256" s="178">
        <v>200</v>
      </c>
      <c r="T256" s="178">
        <v>200</v>
      </c>
      <c r="U256" s="183">
        <v>150</v>
      </c>
      <c r="V256" s="59">
        <f>1000000000/3</f>
        <v>333333333.33333331</v>
      </c>
      <c r="W256" s="60"/>
      <c r="X256" s="60"/>
      <c r="Y256" s="60"/>
      <c r="Z256" s="60"/>
      <c r="AA256" s="61"/>
      <c r="AB256" s="62">
        <f>1449000000/3</f>
        <v>483000000</v>
      </c>
      <c r="AC256" s="60"/>
      <c r="AD256" s="60"/>
      <c r="AE256" s="60"/>
      <c r="AF256" s="60"/>
      <c r="AG256" s="60"/>
      <c r="AH256" s="63"/>
      <c r="AI256" s="62">
        <f>1449000000/3</f>
        <v>483000000</v>
      </c>
      <c r="AJ256" s="60"/>
      <c r="AK256" s="60"/>
      <c r="AL256" s="60"/>
      <c r="AM256" s="60"/>
      <c r="AN256" s="60"/>
      <c r="AO256" s="63"/>
      <c r="AP256" s="62">
        <v>483000000</v>
      </c>
      <c r="AQ256" s="60"/>
      <c r="AR256" s="60"/>
      <c r="AS256" s="60"/>
      <c r="AT256" s="60"/>
      <c r="AU256" s="60"/>
      <c r="AV256" s="64"/>
      <c r="AW256" s="55">
        <f t="shared" si="17"/>
        <v>333333333.33333331</v>
      </c>
      <c r="AX256" s="55">
        <f t="shared" si="18"/>
        <v>483000000</v>
      </c>
      <c r="AY256" s="55">
        <f t="shared" si="19"/>
        <v>483000000</v>
      </c>
      <c r="AZ256" s="55">
        <f t="shared" si="20"/>
        <v>483000000</v>
      </c>
      <c r="BA256" s="55">
        <f t="shared" si="21"/>
        <v>1782333333.3333333</v>
      </c>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row>
    <row r="257" spans="1:133" s="31" customFormat="1" ht="63" x14ac:dyDescent="0.25">
      <c r="A257" s="130" t="s">
        <v>533</v>
      </c>
      <c r="B257" s="131" t="s">
        <v>534</v>
      </c>
      <c r="C257" s="110" t="s">
        <v>535</v>
      </c>
      <c r="D257" s="110" t="s">
        <v>536</v>
      </c>
      <c r="E257" s="121">
        <v>0.55300000000000005</v>
      </c>
      <c r="F257" s="121">
        <v>0.53</v>
      </c>
      <c r="G257" s="139" t="s">
        <v>537</v>
      </c>
      <c r="H257" s="139" t="s">
        <v>1393</v>
      </c>
      <c r="I257" s="103" t="s">
        <v>541</v>
      </c>
      <c r="J257" s="103" t="s">
        <v>1683</v>
      </c>
      <c r="K257" s="56">
        <v>1211</v>
      </c>
      <c r="L257" s="86">
        <v>2000</v>
      </c>
      <c r="M257" s="56" t="s">
        <v>333</v>
      </c>
      <c r="N257" s="100" t="s">
        <v>539</v>
      </c>
      <c r="O257" s="54" t="s">
        <v>540</v>
      </c>
      <c r="P257" s="58" t="s">
        <v>39</v>
      </c>
      <c r="Q257" s="171" t="s">
        <v>1680</v>
      </c>
      <c r="R257" s="182">
        <v>300</v>
      </c>
      <c r="S257" s="178">
        <v>600</v>
      </c>
      <c r="T257" s="178">
        <v>500</v>
      </c>
      <c r="U257" s="183">
        <v>600</v>
      </c>
      <c r="V257" s="59">
        <f>1000000000/3</f>
        <v>333333333.33333331</v>
      </c>
      <c r="W257" s="60"/>
      <c r="X257" s="60"/>
      <c r="Y257" s="60"/>
      <c r="Z257" s="60"/>
      <c r="AA257" s="61"/>
      <c r="AB257" s="62">
        <f>1449000000/3</f>
        <v>483000000</v>
      </c>
      <c r="AC257" s="60"/>
      <c r="AD257" s="60"/>
      <c r="AE257" s="60"/>
      <c r="AF257" s="60"/>
      <c r="AG257" s="60"/>
      <c r="AH257" s="63"/>
      <c r="AI257" s="62">
        <f>1449000000/3</f>
        <v>483000000</v>
      </c>
      <c r="AJ257" s="60"/>
      <c r="AK257" s="60"/>
      <c r="AL257" s="60"/>
      <c r="AM257" s="60"/>
      <c r="AN257" s="60"/>
      <c r="AO257" s="63"/>
      <c r="AP257" s="62">
        <v>483000000</v>
      </c>
      <c r="AQ257" s="60"/>
      <c r="AR257" s="60"/>
      <c r="AS257" s="60"/>
      <c r="AT257" s="60"/>
      <c r="AU257" s="60"/>
      <c r="AV257" s="64"/>
      <c r="AW257" s="55">
        <f t="shared" si="17"/>
        <v>333333333.33333331</v>
      </c>
      <c r="AX257" s="55">
        <f t="shared" si="18"/>
        <v>483000000</v>
      </c>
      <c r="AY257" s="55">
        <f t="shared" si="19"/>
        <v>483000000</v>
      </c>
      <c r="AZ257" s="55">
        <f t="shared" si="20"/>
        <v>483000000</v>
      </c>
      <c r="BA257" s="55">
        <f t="shared" si="21"/>
        <v>1782333333.3333333</v>
      </c>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row>
    <row r="258" spans="1:133" s="31" customFormat="1" ht="63" x14ac:dyDescent="0.25">
      <c r="A258" s="130" t="s">
        <v>533</v>
      </c>
      <c r="B258" s="131" t="s">
        <v>534</v>
      </c>
      <c r="C258" s="110" t="s">
        <v>535</v>
      </c>
      <c r="D258" s="110" t="s">
        <v>536</v>
      </c>
      <c r="E258" s="121">
        <v>0.55300000000000005</v>
      </c>
      <c r="F258" s="121">
        <v>0.53</v>
      </c>
      <c r="G258" s="139" t="s">
        <v>537</v>
      </c>
      <c r="H258" s="139" t="s">
        <v>1394</v>
      </c>
      <c r="I258" s="103" t="s">
        <v>542</v>
      </c>
      <c r="J258" s="103" t="s">
        <v>1683</v>
      </c>
      <c r="K258" s="56">
        <v>465</v>
      </c>
      <c r="L258" s="86">
        <v>1500</v>
      </c>
      <c r="M258" s="56" t="s">
        <v>333</v>
      </c>
      <c r="N258" s="100" t="s">
        <v>539</v>
      </c>
      <c r="O258" s="54" t="s">
        <v>540</v>
      </c>
      <c r="P258" s="58" t="s">
        <v>39</v>
      </c>
      <c r="Q258" s="171" t="s">
        <v>1680</v>
      </c>
      <c r="R258" s="182">
        <v>150</v>
      </c>
      <c r="S258" s="178">
        <v>300</v>
      </c>
      <c r="T258" s="178">
        <v>550</v>
      </c>
      <c r="U258" s="183">
        <v>500</v>
      </c>
      <c r="V258" s="59">
        <f>1000000000/3</f>
        <v>333333333.33333331</v>
      </c>
      <c r="W258" s="60"/>
      <c r="X258" s="60"/>
      <c r="Y258" s="60"/>
      <c r="Z258" s="60"/>
      <c r="AA258" s="61"/>
      <c r="AB258" s="62">
        <f>1449000000/3</f>
        <v>483000000</v>
      </c>
      <c r="AC258" s="60"/>
      <c r="AD258" s="60"/>
      <c r="AE258" s="60"/>
      <c r="AF258" s="60"/>
      <c r="AG258" s="60"/>
      <c r="AH258" s="63"/>
      <c r="AI258" s="62">
        <f>1449000000/3</f>
        <v>483000000</v>
      </c>
      <c r="AJ258" s="60"/>
      <c r="AK258" s="60"/>
      <c r="AL258" s="60"/>
      <c r="AM258" s="60"/>
      <c r="AN258" s="60"/>
      <c r="AO258" s="63"/>
      <c r="AP258" s="62">
        <v>483000000</v>
      </c>
      <c r="AQ258" s="60"/>
      <c r="AR258" s="60"/>
      <c r="AS258" s="60"/>
      <c r="AT258" s="60"/>
      <c r="AU258" s="60"/>
      <c r="AV258" s="64"/>
      <c r="AW258" s="55">
        <f t="shared" si="17"/>
        <v>333333333.33333331</v>
      </c>
      <c r="AX258" s="55">
        <f t="shared" si="18"/>
        <v>483000000</v>
      </c>
      <c r="AY258" s="55">
        <f t="shared" si="19"/>
        <v>483000000</v>
      </c>
      <c r="AZ258" s="55">
        <f t="shared" si="20"/>
        <v>483000000</v>
      </c>
      <c r="BA258" s="55">
        <f t="shared" si="21"/>
        <v>1782333333.3333333</v>
      </c>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row>
    <row r="259" spans="1:133" s="31" customFormat="1" ht="63" x14ac:dyDescent="0.25">
      <c r="A259" s="130" t="s">
        <v>533</v>
      </c>
      <c r="B259" s="131" t="s">
        <v>534</v>
      </c>
      <c r="C259" s="110" t="s">
        <v>535</v>
      </c>
      <c r="D259" s="110" t="s">
        <v>536</v>
      </c>
      <c r="E259" s="121">
        <v>0.55300000000000005</v>
      </c>
      <c r="F259" s="121">
        <v>0.53</v>
      </c>
      <c r="G259" s="139" t="s">
        <v>537</v>
      </c>
      <c r="H259" s="139" t="s">
        <v>1395</v>
      </c>
      <c r="I259" s="103" t="s">
        <v>543</v>
      </c>
      <c r="J259" s="103" t="s">
        <v>1683</v>
      </c>
      <c r="K259" s="56">
        <v>3</v>
      </c>
      <c r="L259" s="86">
        <v>8</v>
      </c>
      <c r="M259" s="54" t="s">
        <v>337</v>
      </c>
      <c r="N259" s="100" t="s">
        <v>539</v>
      </c>
      <c r="O259" s="54" t="s">
        <v>540</v>
      </c>
      <c r="P259" s="58" t="s">
        <v>39</v>
      </c>
      <c r="Q259" s="171" t="s">
        <v>1680</v>
      </c>
      <c r="R259" s="182">
        <v>0</v>
      </c>
      <c r="S259" s="178">
        <v>2</v>
      </c>
      <c r="T259" s="178">
        <v>3</v>
      </c>
      <c r="U259" s="183">
        <v>3</v>
      </c>
      <c r="V259" s="59"/>
      <c r="W259" s="60"/>
      <c r="X259" s="60"/>
      <c r="Y259" s="60"/>
      <c r="Z259" s="60"/>
      <c r="AA259" s="61"/>
      <c r="AB259" s="62">
        <v>700000000</v>
      </c>
      <c r="AC259" s="60"/>
      <c r="AD259" s="60"/>
      <c r="AE259" s="60"/>
      <c r="AF259" s="60"/>
      <c r="AG259" s="60"/>
      <c r="AH259" s="63"/>
      <c r="AI259" s="62">
        <v>735000000</v>
      </c>
      <c r="AJ259" s="60"/>
      <c r="AK259" s="60"/>
      <c r="AL259" s="60"/>
      <c r="AM259" s="60"/>
      <c r="AN259" s="60"/>
      <c r="AO259" s="63"/>
      <c r="AP259" s="62">
        <v>772000000</v>
      </c>
      <c r="AQ259" s="60"/>
      <c r="AR259" s="60"/>
      <c r="AS259" s="60"/>
      <c r="AT259" s="60"/>
      <c r="AU259" s="60"/>
      <c r="AV259" s="64"/>
      <c r="AW259" s="55">
        <f t="shared" si="17"/>
        <v>0</v>
      </c>
      <c r="AX259" s="55">
        <f t="shared" si="18"/>
        <v>700000000</v>
      </c>
      <c r="AY259" s="55">
        <f t="shared" si="19"/>
        <v>735000000</v>
      </c>
      <c r="AZ259" s="55">
        <f t="shared" si="20"/>
        <v>772000000</v>
      </c>
      <c r="BA259" s="55">
        <f t="shared" si="21"/>
        <v>2207000000</v>
      </c>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row>
    <row r="260" spans="1:133" s="31" customFormat="1" ht="78.75" x14ac:dyDescent="0.25">
      <c r="A260" s="130" t="s">
        <v>533</v>
      </c>
      <c r="B260" s="131" t="s">
        <v>534</v>
      </c>
      <c r="C260" s="110" t="s">
        <v>535</v>
      </c>
      <c r="D260" s="110" t="s">
        <v>536</v>
      </c>
      <c r="E260" s="121">
        <v>0.55300000000000005</v>
      </c>
      <c r="F260" s="121">
        <v>0.53</v>
      </c>
      <c r="G260" s="139" t="s">
        <v>537</v>
      </c>
      <c r="H260" s="139" t="s">
        <v>1396</v>
      </c>
      <c r="I260" s="103" t="s">
        <v>544</v>
      </c>
      <c r="J260" s="103" t="s">
        <v>1683</v>
      </c>
      <c r="K260" s="56" t="s">
        <v>90</v>
      </c>
      <c r="L260" s="86">
        <v>4</v>
      </c>
      <c r="M260" s="54" t="s">
        <v>337</v>
      </c>
      <c r="N260" s="100" t="s">
        <v>539</v>
      </c>
      <c r="O260" s="54" t="s">
        <v>540</v>
      </c>
      <c r="P260" s="58" t="s">
        <v>39</v>
      </c>
      <c r="Q260" s="171" t="s">
        <v>1680</v>
      </c>
      <c r="R260" s="182">
        <v>0</v>
      </c>
      <c r="S260" s="178">
        <v>1</v>
      </c>
      <c r="T260" s="178">
        <v>1</v>
      </c>
      <c r="U260" s="183">
        <v>2</v>
      </c>
      <c r="V260" s="59"/>
      <c r="W260" s="60"/>
      <c r="X260" s="60"/>
      <c r="Y260" s="60"/>
      <c r="Z260" s="60"/>
      <c r="AA260" s="61"/>
      <c r="AB260" s="62">
        <v>1200000000</v>
      </c>
      <c r="AC260" s="60"/>
      <c r="AD260" s="60"/>
      <c r="AE260" s="60"/>
      <c r="AF260" s="60"/>
      <c r="AG260" s="60"/>
      <c r="AH260" s="63"/>
      <c r="AI260" s="62">
        <v>1260000000</v>
      </c>
      <c r="AJ260" s="60"/>
      <c r="AK260" s="60"/>
      <c r="AL260" s="60"/>
      <c r="AM260" s="60"/>
      <c r="AN260" s="60"/>
      <c r="AO260" s="63"/>
      <c r="AP260" s="62">
        <v>1323000000</v>
      </c>
      <c r="AQ260" s="60"/>
      <c r="AR260" s="60"/>
      <c r="AS260" s="60"/>
      <c r="AT260" s="60"/>
      <c r="AU260" s="60"/>
      <c r="AV260" s="64"/>
      <c r="AW260" s="55">
        <f t="shared" ref="AW260:AW323" si="22">SUM(V260:AA260)</f>
        <v>0</v>
      </c>
      <c r="AX260" s="55">
        <f t="shared" ref="AX260:AX323" si="23">SUM(AB260:AH260)</f>
        <v>1200000000</v>
      </c>
      <c r="AY260" s="55">
        <f t="shared" ref="AY260:AY323" si="24">SUM(AI260:AO260)</f>
        <v>1260000000</v>
      </c>
      <c r="AZ260" s="55">
        <f t="shared" ref="AZ260:AZ323" si="25">SUM(AP260:AV260)</f>
        <v>1323000000</v>
      </c>
      <c r="BA260" s="55">
        <f t="shared" ref="BA260:BA323" si="26">SUM(AW260:AZ260)</f>
        <v>3783000000</v>
      </c>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row>
    <row r="261" spans="1:133" s="31" customFormat="1" ht="173.25" x14ac:dyDescent="0.25">
      <c r="A261" s="130" t="s">
        <v>533</v>
      </c>
      <c r="B261" s="131" t="s">
        <v>534</v>
      </c>
      <c r="C261" s="110" t="s">
        <v>535</v>
      </c>
      <c r="D261" s="110" t="s">
        <v>536</v>
      </c>
      <c r="E261" s="121">
        <v>0.55300000000000005</v>
      </c>
      <c r="F261" s="121">
        <v>0.53</v>
      </c>
      <c r="G261" s="139" t="s">
        <v>537</v>
      </c>
      <c r="H261" s="139" t="s">
        <v>1146</v>
      </c>
      <c r="I261" s="109" t="s">
        <v>40</v>
      </c>
      <c r="J261" s="109" t="s">
        <v>1682</v>
      </c>
      <c r="K261" s="69" t="s">
        <v>41</v>
      </c>
      <c r="L261" s="179">
        <v>100</v>
      </c>
      <c r="M261" s="56" t="s">
        <v>333</v>
      </c>
      <c r="N261" s="100" t="s">
        <v>539</v>
      </c>
      <c r="O261" s="54" t="s">
        <v>540</v>
      </c>
      <c r="P261" s="72" t="s">
        <v>42</v>
      </c>
      <c r="Q261" s="54" t="s">
        <v>1679</v>
      </c>
      <c r="R261" s="182">
        <v>100</v>
      </c>
      <c r="S261" s="178">
        <v>100</v>
      </c>
      <c r="T261" s="178">
        <v>100</v>
      </c>
      <c r="U261" s="183">
        <v>100</v>
      </c>
      <c r="V261" s="59">
        <v>554000000</v>
      </c>
      <c r="W261" s="60"/>
      <c r="X261" s="60"/>
      <c r="Y261" s="60"/>
      <c r="Z261" s="60"/>
      <c r="AA261" s="61"/>
      <c r="AB261" s="62">
        <v>1000000</v>
      </c>
      <c r="AC261" s="60"/>
      <c r="AD261" s="60"/>
      <c r="AE261" s="60"/>
      <c r="AF261" s="60"/>
      <c r="AG261" s="60"/>
      <c r="AH261" s="63"/>
      <c r="AI261" s="62">
        <v>1000000</v>
      </c>
      <c r="AJ261" s="60"/>
      <c r="AK261" s="60"/>
      <c r="AL261" s="60"/>
      <c r="AM261" s="60"/>
      <c r="AN261" s="60"/>
      <c r="AO261" s="63"/>
      <c r="AP261" s="62">
        <v>1000000</v>
      </c>
      <c r="AQ261" s="60"/>
      <c r="AR261" s="60"/>
      <c r="AS261" s="60"/>
      <c r="AT261" s="60"/>
      <c r="AU261" s="60"/>
      <c r="AV261" s="64"/>
      <c r="AW261" s="55">
        <f t="shared" si="22"/>
        <v>554000000</v>
      </c>
      <c r="AX261" s="55">
        <f t="shared" si="23"/>
        <v>1000000</v>
      </c>
      <c r="AY261" s="55">
        <f t="shared" si="24"/>
        <v>1000000</v>
      </c>
      <c r="AZ261" s="55">
        <f t="shared" si="25"/>
        <v>1000000</v>
      </c>
      <c r="BA261" s="55">
        <f t="shared" si="26"/>
        <v>557000000</v>
      </c>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row>
    <row r="262" spans="1:133" s="31" customFormat="1" ht="63" x14ac:dyDescent="0.25">
      <c r="A262" s="130" t="s">
        <v>533</v>
      </c>
      <c r="B262" s="131" t="s">
        <v>534</v>
      </c>
      <c r="C262" s="110" t="s">
        <v>535</v>
      </c>
      <c r="D262" s="110" t="s">
        <v>536</v>
      </c>
      <c r="E262" s="121">
        <v>0.55300000000000005</v>
      </c>
      <c r="F262" s="121">
        <v>0.53</v>
      </c>
      <c r="G262" s="104" t="s">
        <v>545</v>
      </c>
      <c r="H262" s="104" t="s">
        <v>1397</v>
      </c>
      <c r="I262" s="103" t="s">
        <v>546</v>
      </c>
      <c r="J262" s="103" t="s">
        <v>1683</v>
      </c>
      <c r="K262" s="56">
        <v>0</v>
      </c>
      <c r="L262" s="86">
        <v>2</v>
      </c>
      <c r="M262" s="56" t="s">
        <v>333</v>
      </c>
      <c r="N262" s="100" t="s">
        <v>539</v>
      </c>
      <c r="O262" s="54" t="s">
        <v>540</v>
      </c>
      <c r="P262" s="58" t="s">
        <v>39</v>
      </c>
      <c r="Q262" s="171" t="s">
        <v>1680</v>
      </c>
      <c r="R262" s="182">
        <v>1</v>
      </c>
      <c r="S262" s="178">
        <v>1</v>
      </c>
      <c r="T262" s="178">
        <v>0</v>
      </c>
      <c r="U262" s="183">
        <v>0</v>
      </c>
      <c r="V262" s="59">
        <v>1000000000</v>
      </c>
      <c r="W262" s="60"/>
      <c r="X262" s="60"/>
      <c r="Y262" s="60"/>
      <c r="Z262" s="60"/>
      <c r="AA262" s="61"/>
      <c r="AB262" s="62">
        <v>5000000000</v>
      </c>
      <c r="AC262" s="60"/>
      <c r="AD262" s="60"/>
      <c r="AE262" s="60"/>
      <c r="AF262" s="60"/>
      <c r="AG262" s="60"/>
      <c r="AH262" s="63"/>
      <c r="AI262" s="62"/>
      <c r="AJ262" s="60"/>
      <c r="AK262" s="60"/>
      <c r="AL262" s="60"/>
      <c r="AM262" s="60"/>
      <c r="AN262" s="60"/>
      <c r="AO262" s="63"/>
      <c r="AP262" s="62"/>
      <c r="AQ262" s="60"/>
      <c r="AR262" s="60"/>
      <c r="AS262" s="60"/>
      <c r="AT262" s="60"/>
      <c r="AU262" s="60"/>
      <c r="AV262" s="64"/>
      <c r="AW262" s="55">
        <f t="shared" si="22"/>
        <v>1000000000</v>
      </c>
      <c r="AX262" s="55">
        <f t="shared" si="23"/>
        <v>5000000000</v>
      </c>
      <c r="AY262" s="55">
        <f t="shared" si="24"/>
        <v>0</v>
      </c>
      <c r="AZ262" s="55">
        <f t="shared" si="25"/>
        <v>0</v>
      </c>
      <c r="BA262" s="55">
        <f t="shared" si="26"/>
        <v>6000000000</v>
      </c>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row>
    <row r="263" spans="1:133" s="31" customFormat="1" ht="78.75" x14ac:dyDescent="0.25">
      <c r="A263" s="130" t="s">
        <v>533</v>
      </c>
      <c r="B263" s="131" t="s">
        <v>534</v>
      </c>
      <c r="C263" s="110" t="s">
        <v>535</v>
      </c>
      <c r="D263" s="110" t="s">
        <v>536</v>
      </c>
      <c r="E263" s="121">
        <v>0.55300000000000005</v>
      </c>
      <c r="F263" s="121">
        <v>0.53</v>
      </c>
      <c r="G263" s="122" t="s">
        <v>547</v>
      </c>
      <c r="H263" s="122" t="s">
        <v>1398</v>
      </c>
      <c r="I263" s="103" t="s">
        <v>548</v>
      </c>
      <c r="J263" s="103" t="s">
        <v>1682</v>
      </c>
      <c r="K263" s="178">
        <v>0</v>
      </c>
      <c r="L263" s="179">
        <v>100</v>
      </c>
      <c r="M263" s="56" t="s">
        <v>220</v>
      </c>
      <c r="N263" s="100" t="s">
        <v>539</v>
      </c>
      <c r="O263" s="54" t="s">
        <v>540</v>
      </c>
      <c r="P263" s="58" t="s">
        <v>39</v>
      </c>
      <c r="Q263" s="171" t="s">
        <v>1680</v>
      </c>
      <c r="R263" s="182">
        <v>50</v>
      </c>
      <c r="S263" s="178">
        <v>50</v>
      </c>
      <c r="T263" s="178">
        <v>0</v>
      </c>
      <c r="U263" s="183">
        <v>0</v>
      </c>
      <c r="V263" s="59">
        <v>200000000</v>
      </c>
      <c r="W263" s="60"/>
      <c r="X263" s="60"/>
      <c r="Y263" s="60"/>
      <c r="Z263" s="60"/>
      <c r="AA263" s="61"/>
      <c r="AB263" s="62"/>
      <c r="AC263" s="60"/>
      <c r="AD263" s="60"/>
      <c r="AE263" s="60"/>
      <c r="AF263" s="60">
        <v>2000000000</v>
      </c>
      <c r="AG263" s="60"/>
      <c r="AH263" s="63"/>
      <c r="AI263" s="62"/>
      <c r="AJ263" s="60"/>
      <c r="AK263" s="60"/>
      <c r="AL263" s="60"/>
      <c r="AM263" s="60"/>
      <c r="AN263" s="60"/>
      <c r="AO263" s="63"/>
      <c r="AP263" s="62"/>
      <c r="AQ263" s="60"/>
      <c r="AR263" s="60"/>
      <c r="AS263" s="60"/>
      <c r="AT263" s="60"/>
      <c r="AU263" s="60"/>
      <c r="AV263" s="64"/>
      <c r="AW263" s="55">
        <f t="shared" si="22"/>
        <v>200000000</v>
      </c>
      <c r="AX263" s="55">
        <f t="shared" si="23"/>
        <v>2000000000</v>
      </c>
      <c r="AY263" s="55">
        <f t="shared" si="24"/>
        <v>0</v>
      </c>
      <c r="AZ263" s="55">
        <f t="shared" si="25"/>
        <v>0</v>
      </c>
      <c r="BA263" s="55">
        <f t="shared" si="26"/>
        <v>2200000000</v>
      </c>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row>
    <row r="264" spans="1:133" s="31" customFormat="1" ht="63" x14ac:dyDescent="0.25">
      <c r="A264" s="130" t="s">
        <v>533</v>
      </c>
      <c r="B264" s="131" t="s">
        <v>534</v>
      </c>
      <c r="C264" s="110" t="s">
        <v>535</v>
      </c>
      <c r="D264" s="110" t="s">
        <v>536</v>
      </c>
      <c r="E264" s="121">
        <v>0.55300000000000005</v>
      </c>
      <c r="F264" s="121">
        <v>0.53</v>
      </c>
      <c r="G264" s="122" t="s">
        <v>547</v>
      </c>
      <c r="H264" s="122" t="s">
        <v>1399</v>
      </c>
      <c r="I264" s="103" t="s">
        <v>549</v>
      </c>
      <c r="J264" s="103" t="s">
        <v>1683</v>
      </c>
      <c r="K264" s="56" t="s">
        <v>41</v>
      </c>
      <c r="L264" s="86">
        <v>2400</v>
      </c>
      <c r="M264" s="56" t="s">
        <v>333</v>
      </c>
      <c r="N264" s="100" t="s">
        <v>539</v>
      </c>
      <c r="O264" s="54" t="s">
        <v>540</v>
      </c>
      <c r="P264" s="58" t="s">
        <v>39</v>
      </c>
      <c r="Q264" s="171" t="s">
        <v>1680</v>
      </c>
      <c r="R264" s="182">
        <v>300</v>
      </c>
      <c r="S264" s="178">
        <v>700</v>
      </c>
      <c r="T264" s="178">
        <v>700</v>
      </c>
      <c r="U264" s="183">
        <v>700</v>
      </c>
      <c r="V264" s="59">
        <v>500000000</v>
      </c>
      <c r="W264" s="60"/>
      <c r="X264" s="60"/>
      <c r="Y264" s="60"/>
      <c r="Z264" s="60"/>
      <c r="AA264" s="61"/>
      <c r="AB264" s="62">
        <v>5090000000</v>
      </c>
      <c r="AC264" s="60"/>
      <c r="AD264" s="60"/>
      <c r="AE264" s="60"/>
      <c r="AF264" s="60"/>
      <c r="AG264" s="60"/>
      <c r="AH264" s="63"/>
      <c r="AI264" s="62">
        <v>5090000000</v>
      </c>
      <c r="AJ264" s="60"/>
      <c r="AK264" s="60"/>
      <c r="AL264" s="60"/>
      <c r="AM264" s="60"/>
      <c r="AN264" s="60"/>
      <c r="AO264" s="63"/>
      <c r="AP264" s="62">
        <v>5090000000</v>
      </c>
      <c r="AQ264" s="60"/>
      <c r="AR264" s="60"/>
      <c r="AS264" s="60"/>
      <c r="AT264" s="60"/>
      <c r="AU264" s="60"/>
      <c r="AV264" s="64"/>
      <c r="AW264" s="55">
        <f t="shared" si="22"/>
        <v>500000000</v>
      </c>
      <c r="AX264" s="55">
        <f t="shared" si="23"/>
        <v>5090000000</v>
      </c>
      <c r="AY264" s="55">
        <f t="shared" si="24"/>
        <v>5090000000</v>
      </c>
      <c r="AZ264" s="55">
        <f t="shared" si="25"/>
        <v>5090000000</v>
      </c>
      <c r="BA264" s="55">
        <f t="shared" si="26"/>
        <v>15770000000</v>
      </c>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row>
    <row r="265" spans="1:133" s="31" customFormat="1" ht="141.75" x14ac:dyDescent="0.25">
      <c r="A265" s="130" t="s">
        <v>533</v>
      </c>
      <c r="B265" s="131" t="s">
        <v>534</v>
      </c>
      <c r="C265" s="110" t="s">
        <v>535</v>
      </c>
      <c r="D265" s="110" t="s">
        <v>536</v>
      </c>
      <c r="E265" s="121">
        <v>0.55300000000000005</v>
      </c>
      <c r="F265" s="121">
        <v>0.53</v>
      </c>
      <c r="G265" s="122" t="s">
        <v>547</v>
      </c>
      <c r="H265" s="122" t="s">
        <v>1400</v>
      </c>
      <c r="I265" s="103" t="s">
        <v>550</v>
      </c>
      <c r="J265" s="103" t="s">
        <v>1683</v>
      </c>
      <c r="K265" s="56" t="s">
        <v>41</v>
      </c>
      <c r="L265" s="86">
        <v>120</v>
      </c>
      <c r="M265" s="54" t="s">
        <v>337</v>
      </c>
      <c r="N265" s="100" t="s">
        <v>539</v>
      </c>
      <c r="O265" s="54" t="s">
        <v>540</v>
      </c>
      <c r="P265" s="58" t="s">
        <v>39</v>
      </c>
      <c r="Q265" s="171" t="s">
        <v>1680</v>
      </c>
      <c r="R265" s="182">
        <v>0</v>
      </c>
      <c r="S265" s="178">
        <v>40</v>
      </c>
      <c r="T265" s="178">
        <v>40</v>
      </c>
      <c r="U265" s="183">
        <v>40</v>
      </c>
      <c r="V265" s="59"/>
      <c r="W265" s="60"/>
      <c r="X265" s="60"/>
      <c r="Y265" s="60"/>
      <c r="Z265" s="60"/>
      <c r="AA265" s="61"/>
      <c r="AB265" s="62">
        <v>1500000000</v>
      </c>
      <c r="AC265" s="60"/>
      <c r="AD265" s="60"/>
      <c r="AE265" s="60"/>
      <c r="AF265" s="60"/>
      <c r="AG265" s="60"/>
      <c r="AH265" s="63"/>
      <c r="AI265" s="62">
        <v>1575000000</v>
      </c>
      <c r="AJ265" s="60"/>
      <c r="AK265" s="60"/>
      <c r="AL265" s="60"/>
      <c r="AM265" s="60"/>
      <c r="AN265" s="60"/>
      <c r="AO265" s="63"/>
      <c r="AP265" s="62">
        <v>1654000000</v>
      </c>
      <c r="AQ265" s="60"/>
      <c r="AR265" s="60"/>
      <c r="AS265" s="60"/>
      <c r="AT265" s="60"/>
      <c r="AU265" s="60"/>
      <c r="AV265" s="64"/>
      <c r="AW265" s="55">
        <f t="shared" si="22"/>
        <v>0</v>
      </c>
      <c r="AX265" s="55">
        <f t="shared" si="23"/>
        <v>1500000000</v>
      </c>
      <c r="AY265" s="55">
        <f t="shared" si="24"/>
        <v>1575000000</v>
      </c>
      <c r="AZ265" s="55">
        <f t="shared" si="25"/>
        <v>1654000000</v>
      </c>
      <c r="BA265" s="55">
        <f t="shared" si="26"/>
        <v>4729000000</v>
      </c>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row>
    <row r="266" spans="1:133" s="13" customFormat="1" ht="63" x14ac:dyDescent="0.25">
      <c r="A266" s="130" t="s">
        <v>533</v>
      </c>
      <c r="B266" s="131" t="s">
        <v>534</v>
      </c>
      <c r="C266" s="110" t="s">
        <v>551</v>
      </c>
      <c r="D266" s="110" t="s">
        <v>552</v>
      </c>
      <c r="E266" s="110" t="s">
        <v>553</v>
      </c>
      <c r="F266" s="110" t="s">
        <v>554</v>
      </c>
      <c r="G266" s="139" t="s">
        <v>555</v>
      </c>
      <c r="H266" s="139" t="s">
        <v>1401</v>
      </c>
      <c r="I266" s="103" t="s">
        <v>556</v>
      </c>
      <c r="J266" s="103" t="s">
        <v>1683</v>
      </c>
      <c r="K266" s="56" t="s">
        <v>41</v>
      </c>
      <c r="L266" s="86">
        <v>9622</v>
      </c>
      <c r="M266" s="56" t="s">
        <v>333</v>
      </c>
      <c r="N266" s="100" t="s">
        <v>539</v>
      </c>
      <c r="O266" s="54" t="s">
        <v>540</v>
      </c>
      <c r="P266" s="58" t="s">
        <v>39</v>
      </c>
      <c r="Q266" s="171" t="s">
        <v>1680</v>
      </c>
      <c r="R266" s="182">
        <v>2400</v>
      </c>
      <c r="S266" s="178">
        <v>2400</v>
      </c>
      <c r="T266" s="178">
        <v>2400</v>
      </c>
      <c r="U266" s="183">
        <v>2422</v>
      </c>
      <c r="V266" s="59">
        <f>352394288/5</f>
        <v>70478857.599999994</v>
      </c>
      <c r="W266" s="60"/>
      <c r="X266" s="60"/>
      <c r="Y266" s="60"/>
      <c r="Z266" s="60"/>
      <c r="AA266" s="61"/>
      <c r="AB266" s="62">
        <f>1680000000/5</f>
        <v>336000000</v>
      </c>
      <c r="AC266" s="60"/>
      <c r="AD266" s="60"/>
      <c r="AE266" s="60"/>
      <c r="AF266" s="60"/>
      <c r="AG266" s="60"/>
      <c r="AH266" s="63"/>
      <c r="AI266" s="62">
        <f>1848100000/5</f>
        <v>369620000</v>
      </c>
      <c r="AJ266" s="60"/>
      <c r="AK266" s="60"/>
      <c r="AL266" s="60"/>
      <c r="AM266" s="60"/>
      <c r="AN266" s="60"/>
      <c r="AO266" s="63"/>
      <c r="AP266" s="62">
        <v>406602000</v>
      </c>
      <c r="AQ266" s="60"/>
      <c r="AR266" s="60"/>
      <c r="AS266" s="60"/>
      <c r="AT266" s="60"/>
      <c r="AU266" s="60"/>
      <c r="AV266" s="64"/>
      <c r="AW266" s="55">
        <f t="shared" si="22"/>
        <v>70478857.599999994</v>
      </c>
      <c r="AX266" s="55">
        <f t="shared" si="23"/>
        <v>336000000</v>
      </c>
      <c r="AY266" s="55">
        <f t="shared" si="24"/>
        <v>369620000</v>
      </c>
      <c r="AZ266" s="55">
        <f t="shared" si="25"/>
        <v>406602000</v>
      </c>
      <c r="BA266" s="55">
        <f t="shared" si="26"/>
        <v>1182700857.5999999</v>
      </c>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row>
    <row r="267" spans="1:133" s="13" customFormat="1" ht="63" x14ac:dyDescent="0.25">
      <c r="A267" s="130" t="s">
        <v>533</v>
      </c>
      <c r="B267" s="131" t="s">
        <v>534</v>
      </c>
      <c r="C267" s="110" t="s">
        <v>551</v>
      </c>
      <c r="D267" s="110" t="s">
        <v>552</v>
      </c>
      <c r="E267" s="110" t="s">
        <v>553</v>
      </c>
      <c r="F267" s="110" t="s">
        <v>554</v>
      </c>
      <c r="G267" s="139" t="s">
        <v>555</v>
      </c>
      <c r="H267" s="139" t="s">
        <v>1402</v>
      </c>
      <c r="I267" s="103" t="s">
        <v>557</v>
      </c>
      <c r="J267" s="103" t="s">
        <v>1683</v>
      </c>
      <c r="K267" s="56">
        <v>860</v>
      </c>
      <c r="L267" s="86">
        <v>3524</v>
      </c>
      <c r="M267" s="56" t="s">
        <v>333</v>
      </c>
      <c r="N267" s="100" t="s">
        <v>539</v>
      </c>
      <c r="O267" s="54" t="s">
        <v>540</v>
      </c>
      <c r="P267" s="58" t="s">
        <v>39</v>
      </c>
      <c r="Q267" s="171" t="s">
        <v>1680</v>
      </c>
      <c r="R267" s="182">
        <v>500</v>
      </c>
      <c r="S267" s="178">
        <v>1008</v>
      </c>
      <c r="T267" s="178">
        <v>1008</v>
      </c>
      <c r="U267" s="183">
        <v>1008</v>
      </c>
      <c r="V267" s="59">
        <f>352394288/5</f>
        <v>70478857.599999994</v>
      </c>
      <c r="W267" s="60"/>
      <c r="X267" s="60"/>
      <c r="Y267" s="60"/>
      <c r="Z267" s="60"/>
      <c r="AA267" s="61"/>
      <c r="AB267" s="62">
        <f>1680000000/5</f>
        <v>336000000</v>
      </c>
      <c r="AC267" s="60"/>
      <c r="AD267" s="60"/>
      <c r="AE267" s="60"/>
      <c r="AF267" s="60"/>
      <c r="AG267" s="60"/>
      <c r="AH267" s="63"/>
      <c r="AI267" s="62">
        <f>1848100000/5</f>
        <v>369620000</v>
      </c>
      <c r="AJ267" s="60"/>
      <c r="AK267" s="60"/>
      <c r="AL267" s="60"/>
      <c r="AM267" s="60"/>
      <c r="AN267" s="60"/>
      <c r="AO267" s="63"/>
      <c r="AP267" s="62">
        <v>406602000</v>
      </c>
      <c r="AQ267" s="60"/>
      <c r="AR267" s="60"/>
      <c r="AS267" s="60"/>
      <c r="AT267" s="60"/>
      <c r="AU267" s="60"/>
      <c r="AV267" s="64"/>
      <c r="AW267" s="55">
        <f t="shared" si="22"/>
        <v>70478857.599999994</v>
      </c>
      <c r="AX267" s="55">
        <f t="shared" si="23"/>
        <v>336000000</v>
      </c>
      <c r="AY267" s="55">
        <f t="shared" si="24"/>
        <v>369620000</v>
      </c>
      <c r="AZ267" s="55">
        <f t="shared" si="25"/>
        <v>406602000</v>
      </c>
      <c r="BA267" s="55">
        <f t="shared" si="26"/>
        <v>1182700857.5999999</v>
      </c>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row>
    <row r="268" spans="1:133" s="13" customFormat="1" ht="94.5" x14ac:dyDescent="0.25">
      <c r="A268" s="130" t="s">
        <v>533</v>
      </c>
      <c r="B268" s="131" t="s">
        <v>534</v>
      </c>
      <c r="C268" s="110" t="s">
        <v>551</v>
      </c>
      <c r="D268" s="110" t="s">
        <v>552</v>
      </c>
      <c r="E268" s="110" t="s">
        <v>553</v>
      </c>
      <c r="F268" s="110" t="s">
        <v>554</v>
      </c>
      <c r="G268" s="139" t="s">
        <v>555</v>
      </c>
      <c r="H268" s="139" t="s">
        <v>1403</v>
      </c>
      <c r="I268" s="103" t="s">
        <v>558</v>
      </c>
      <c r="J268" s="103" t="s">
        <v>1683</v>
      </c>
      <c r="K268" s="56" t="s">
        <v>41</v>
      </c>
      <c r="L268" s="86">
        <v>29032</v>
      </c>
      <c r="M268" s="56" t="s">
        <v>333</v>
      </c>
      <c r="N268" s="100" t="s">
        <v>539</v>
      </c>
      <c r="O268" s="54" t="s">
        <v>540</v>
      </c>
      <c r="P268" s="58" t="s">
        <v>39</v>
      </c>
      <c r="Q268" s="171" t="s">
        <v>1680</v>
      </c>
      <c r="R268" s="182">
        <v>6250</v>
      </c>
      <c r="S268" s="178">
        <v>7594</v>
      </c>
      <c r="T268" s="178">
        <v>7594</v>
      </c>
      <c r="U268" s="183">
        <v>7594</v>
      </c>
      <c r="V268" s="59">
        <f>352394288/5</f>
        <v>70478857.599999994</v>
      </c>
      <c r="W268" s="60"/>
      <c r="X268" s="60"/>
      <c r="Y268" s="60"/>
      <c r="Z268" s="60"/>
      <c r="AA268" s="61"/>
      <c r="AB268" s="62">
        <f>1680000000/5</f>
        <v>336000000</v>
      </c>
      <c r="AC268" s="60"/>
      <c r="AD268" s="60"/>
      <c r="AE268" s="60"/>
      <c r="AF268" s="60"/>
      <c r="AG268" s="60"/>
      <c r="AH268" s="63"/>
      <c r="AI268" s="62">
        <f>1848100000/5</f>
        <v>369620000</v>
      </c>
      <c r="AJ268" s="60"/>
      <c r="AK268" s="60"/>
      <c r="AL268" s="60"/>
      <c r="AM268" s="60"/>
      <c r="AN268" s="60"/>
      <c r="AO268" s="63"/>
      <c r="AP268" s="62">
        <v>406602000</v>
      </c>
      <c r="AQ268" s="60"/>
      <c r="AR268" s="60"/>
      <c r="AS268" s="60"/>
      <c r="AT268" s="60"/>
      <c r="AU268" s="60"/>
      <c r="AV268" s="64"/>
      <c r="AW268" s="55">
        <f t="shared" si="22"/>
        <v>70478857.599999994</v>
      </c>
      <c r="AX268" s="55">
        <f t="shared" si="23"/>
        <v>336000000</v>
      </c>
      <c r="AY268" s="55">
        <f t="shared" si="24"/>
        <v>369620000</v>
      </c>
      <c r="AZ268" s="55">
        <f t="shared" si="25"/>
        <v>406602000</v>
      </c>
      <c r="BA268" s="55">
        <f t="shared" si="26"/>
        <v>1182700857.5999999</v>
      </c>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row>
    <row r="269" spans="1:133" s="13" customFormat="1" ht="63" x14ac:dyDescent="0.25">
      <c r="A269" s="130" t="s">
        <v>533</v>
      </c>
      <c r="B269" s="131" t="s">
        <v>534</v>
      </c>
      <c r="C269" s="110" t="s">
        <v>551</v>
      </c>
      <c r="D269" s="110" t="s">
        <v>552</v>
      </c>
      <c r="E269" s="110" t="s">
        <v>553</v>
      </c>
      <c r="F269" s="110" t="s">
        <v>554</v>
      </c>
      <c r="G269" s="139" t="s">
        <v>555</v>
      </c>
      <c r="H269" s="139" t="s">
        <v>1404</v>
      </c>
      <c r="I269" s="103" t="s">
        <v>559</v>
      </c>
      <c r="J269" s="103" t="s">
        <v>1683</v>
      </c>
      <c r="K269" s="56" t="s">
        <v>41</v>
      </c>
      <c r="L269" s="86">
        <v>17562</v>
      </c>
      <c r="M269" s="56" t="s">
        <v>333</v>
      </c>
      <c r="N269" s="100" t="s">
        <v>539</v>
      </c>
      <c r="O269" s="54" t="s">
        <v>540</v>
      </c>
      <c r="P269" s="58" t="s">
        <v>39</v>
      </c>
      <c r="Q269" s="171" t="s">
        <v>1680</v>
      </c>
      <c r="R269" s="182">
        <v>3390</v>
      </c>
      <c r="S269" s="178">
        <v>4724</v>
      </c>
      <c r="T269" s="178">
        <v>4724</v>
      </c>
      <c r="U269" s="183">
        <v>4724</v>
      </c>
      <c r="V269" s="59">
        <f>352394288/5</f>
        <v>70478857.599999994</v>
      </c>
      <c r="W269" s="60"/>
      <c r="X269" s="60"/>
      <c r="Y269" s="60"/>
      <c r="Z269" s="60"/>
      <c r="AA269" s="61"/>
      <c r="AB269" s="62">
        <f>1680000000/5</f>
        <v>336000000</v>
      </c>
      <c r="AC269" s="60"/>
      <c r="AD269" s="60"/>
      <c r="AE269" s="60"/>
      <c r="AF269" s="60"/>
      <c r="AG269" s="60"/>
      <c r="AH269" s="63"/>
      <c r="AI269" s="62">
        <f>1848100000/5</f>
        <v>369620000</v>
      </c>
      <c r="AJ269" s="60"/>
      <c r="AK269" s="60"/>
      <c r="AL269" s="60"/>
      <c r="AM269" s="60"/>
      <c r="AN269" s="60"/>
      <c r="AO269" s="63"/>
      <c r="AP269" s="62">
        <v>406602000</v>
      </c>
      <c r="AQ269" s="60"/>
      <c r="AR269" s="60"/>
      <c r="AS269" s="60"/>
      <c r="AT269" s="60"/>
      <c r="AU269" s="60"/>
      <c r="AV269" s="64"/>
      <c r="AW269" s="55">
        <f t="shared" si="22"/>
        <v>70478857.599999994</v>
      </c>
      <c r="AX269" s="55">
        <f t="shared" si="23"/>
        <v>336000000</v>
      </c>
      <c r="AY269" s="55">
        <f t="shared" si="24"/>
        <v>369620000</v>
      </c>
      <c r="AZ269" s="55">
        <f t="shared" si="25"/>
        <v>406602000</v>
      </c>
      <c r="BA269" s="55">
        <f t="shared" si="26"/>
        <v>1182700857.5999999</v>
      </c>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row>
    <row r="270" spans="1:133" s="13" customFormat="1" ht="63" x14ac:dyDescent="0.25">
      <c r="A270" s="130" t="s">
        <v>533</v>
      </c>
      <c r="B270" s="131" t="s">
        <v>534</v>
      </c>
      <c r="C270" s="110" t="s">
        <v>551</v>
      </c>
      <c r="D270" s="110" t="s">
        <v>552</v>
      </c>
      <c r="E270" s="110" t="s">
        <v>553</v>
      </c>
      <c r="F270" s="110" t="s">
        <v>554</v>
      </c>
      <c r="G270" s="139" t="s">
        <v>555</v>
      </c>
      <c r="H270" s="139" t="s">
        <v>1405</v>
      </c>
      <c r="I270" s="103" t="s">
        <v>560</v>
      </c>
      <c r="J270" s="103" t="s">
        <v>1683</v>
      </c>
      <c r="K270" s="56" t="s">
        <v>41</v>
      </c>
      <c r="L270" s="86">
        <v>9452</v>
      </c>
      <c r="M270" s="56" t="s">
        <v>333</v>
      </c>
      <c r="N270" s="100" t="s">
        <v>539</v>
      </c>
      <c r="O270" s="54" t="s">
        <v>540</v>
      </c>
      <c r="P270" s="58" t="s">
        <v>39</v>
      </c>
      <c r="Q270" s="171" t="s">
        <v>1680</v>
      </c>
      <c r="R270" s="182">
        <v>2250</v>
      </c>
      <c r="S270" s="178">
        <v>2390</v>
      </c>
      <c r="T270" s="178">
        <v>2406</v>
      </c>
      <c r="U270" s="183">
        <v>2406</v>
      </c>
      <c r="V270" s="59">
        <f>352394288/5</f>
        <v>70478857.599999994</v>
      </c>
      <c r="W270" s="60"/>
      <c r="X270" s="60"/>
      <c r="Y270" s="60"/>
      <c r="Z270" s="60"/>
      <c r="AA270" s="61"/>
      <c r="AB270" s="62">
        <f>1680000000/5</f>
        <v>336000000</v>
      </c>
      <c r="AC270" s="60"/>
      <c r="AD270" s="60"/>
      <c r="AE270" s="60"/>
      <c r="AF270" s="60"/>
      <c r="AG270" s="60"/>
      <c r="AH270" s="63"/>
      <c r="AI270" s="62">
        <f>1848100000/5</f>
        <v>369620000</v>
      </c>
      <c r="AJ270" s="60"/>
      <c r="AK270" s="60"/>
      <c r="AL270" s="60"/>
      <c r="AM270" s="60"/>
      <c r="AN270" s="60"/>
      <c r="AO270" s="63"/>
      <c r="AP270" s="62">
        <f>2033010000/5</f>
        <v>406602000</v>
      </c>
      <c r="AQ270" s="60"/>
      <c r="AR270" s="60"/>
      <c r="AS270" s="60"/>
      <c r="AT270" s="60"/>
      <c r="AU270" s="60"/>
      <c r="AV270" s="64"/>
      <c r="AW270" s="55">
        <f t="shared" si="22"/>
        <v>70478857.599999994</v>
      </c>
      <c r="AX270" s="55">
        <f t="shared" si="23"/>
        <v>336000000</v>
      </c>
      <c r="AY270" s="55">
        <f t="shared" si="24"/>
        <v>369620000</v>
      </c>
      <c r="AZ270" s="55">
        <f t="shared" si="25"/>
        <v>406602000</v>
      </c>
      <c r="BA270" s="55">
        <f t="shared" si="26"/>
        <v>1182700857.5999999</v>
      </c>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row>
    <row r="271" spans="1:133" s="13" customFormat="1" ht="173.25" x14ac:dyDescent="0.25">
      <c r="A271" s="130" t="s">
        <v>533</v>
      </c>
      <c r="B271" s="131" t="s">
        <v>534</v>
      </c>
      <c r="C271" s="110" t="s">
        <v>551</v>
      </c>
      <c r="D271" s="110" t="s">
        <v>552</v>
      </c>
      <c r="E271" s="110" t="s">
        <v>553</v>
      </c>
      <c r="F271" s="110" t="s">
        <v>554</v>
      </c>
      <c r="G271" s="139" t="s">
        <v>555</v>
      </c>
      <c r="H271" s="139" t="s">
        <v>1146</v>
      </c>
      <c r="I271" s="109" t="s">
        <v>40</v>
      </c>
      <c r="J271" s="109" t="s">
        <v>1682</v>
      </c>
      <c r="K271" s="69" t="s">
        <v>41</v>
      </c>
      <c r="L271" s="179">
        <v>100</v>
      </c>
      <c r="M271" s="56" t="s">
        <v>333</v>
      </c>
      <c r="N271" s="100" t="s">
        <v>539</v>
      </c>
      <c r="O271" s="54" t="s">
        <v>540</v>
      </c>
      <c r="P271" s="72" t="s">
        <v>42</v>
      </c>
      <c r="Q271" s="54" t="s">
        <v>1679</v>
      </c>
      <c r="R271" s="182">
        <v>100</v>
      </c>
      <c r="S271" s="178">
        <v>100</v>
      </c>
      <c r="T271" s="178">
        <v>100</v>
      </c>
      <c r="U271" s="183">
        <v>100</v>
      </c>
      <c r="V271" s="59">
        <v>1000000</v>
      </c>
      <c r="W271" s="60"/>
      <c r="X271" s="60"/>
      <c r="Y271" s="60"/>
      <c r="Z271" s="60"/>
      <c r="AA271" s="61"/>
      <c r="AB271" s="62">
        <v>1000000</v>
      </c>
      <c r="AC271" s="60"/>
      <c r="AD271" s="60"/>
      <c r="AE271" s="60"/>
      <c r="AF271" s="60"/>
      <c r="AG271" s="60"/>
      <c r="AH271" s="63"/>
      <c r="AI271" s="62">
        <v>1000000</v>
      </c>
      <c r="AJ271" s="60"/>
      <c r="AK271" s="60"/>
      <c r="AL271" s="60"/>
      <c r="AM271" s="60"/>
      <c r="AN271" s="60"/>
      <c r="AO271" s="63"/>
      <c r="AP271" s="62">
        <v>1000000</v>
      </c>
      <c r="AQ271" s="60"/>
      <c r="AR271" s="60"/>
      <c r="AS271" s="60"/>
      <c r="AT271" s="60"/>
      <c r="AU271" s="60"/>
      <c r="AV271" s="64"/>
      <c r="AW271" s="55">
        <f t="shared" si="22"/>
        <v>1000000</v>
      </c>
      <c r="AX271" s="55">
        <f t="shared" si="23"/>
        <v>1000000</v>
      </c>
      <c r="AY271" s="55">
        <f t="shared" si="24"/>
        <v>1000000</v>
      </c>
      <c r="AZ271" s="55">
        <f t="shared" si="25"/>
        <v>1000000</v>
      </c>
      <c r="BA271" s="55">
        <f t="shared" si="26"/>
        <v>4000000</v>
      </c>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row>
    <row r="272" spans="1:133" s="13" customFormat="1" ht="63" x14ac:dyDescent="0.25">
      <c r="A272" s="130" t="s">
        <v>533</v>
      </c>
      <c r="B272" s="131" t="s">
        <v>534</v>
      </c>
      <c r="C272" s="110" t="s">
        <v>551</v>
      </c>
      <c r="D272" s="110" t="s">
        <v>552</v>
      </c>
      <c r="E272" s="110" t="s">
        <v>553</v>
      </c>
      <c r="F272" s="110" t="s">
        <v>554</v>
      </c>
      <c r="G272" s="104" t="s">
        <v>561</v>
      </c>
      <c r="H272" s="104" t="s">
        <v>1406</v>
      </c>
      <c r="I272" s="103" t="s">
        <v>562</v>
      </c>
      <c r="J272" s="103" t="s">
        <v>1683</v>
      </c>
      <c r="K272" s="56">
        <v>0</v>
      </c>
      <c r="L272" s="86">
        <v>1500</v>
      </c>
      <c r="M272" s="56" t="s">
        <v>333</v>
      </c>
      <c r="N272" s="100" t="s">
        <v>539</v>
      </c>
      <c r="O272" s="54" t="s">
        <v>540</v>
      </c>
      <c r="P272" s="58" t="s">
        <v>39</v>
      </c>
      <c r="Q272" s="171" t="s">
        <v>1680</v>
      </c>
      <c r="R272" s="182">
        <v>0</v>
      </c>
      <c r="S272" s="178">
        <v>500</v>
      </c>
      <c r="T272" s="178">
        <v>500</v>
      </c>
      <c r="U272" s="183">
        <v>500</v>
      </c>
      <c r="V272" s="59"/>
      <c r="W272" s="60"/>
      <c r="X272" s="60"/>
      <c r="Y272" s="60"/>
      <c r="Z272" s="60"/>
      <c r="AA272" s="61"/>
      <c r="AB272" s="62">
        <v>2000000000</v>
      </c>
      <c r="AC272" s="60"/>
      <c r="AD272" s="60"/>
      <c r="AE272" s="60"/>
      <c r="AF272" s="60"/>
      <c r="AG272" s="60"/>
      <c r="AH272" s="63"/>
      <c r="AI272" s="62">
        <v>1750000000</v>
      </c>
      <c r="AJ272" s="60"/>
      <c r="AK272" s="60"/>
      <c r="AL272" s="60"/>
      <c r="AM272" s="60"/>
      <c r="AN272" s="60"/>
      <c r="AO272" s="63"/>
      <c r="AP272" s="62">
        <v>1750000000</v>
      </c>
      <c r="AQ272" s="60"/>
      <c r="AR272" s="60"/>
      <c r="AS272" s="60"/>
      <c r="AT272" s="60"/>
      <c r="AU272" s="60"/>
      <c r="AV272" s="64"/>
      <c r="AW272" s="55">
        <f t="shared" si="22"/>
        <v>0</v>
      </c>
      <c r="AX272" s="55">
        <f t="shared" si="23"/>
        <v>2000000000</v>
      </c>
      <c r="AY272" s="55">
        <f t="shared" si="24"/>
        <v>1750000000</v>
      </c>
      <c r="AZ272" s="55">
        <f t="shared" si="25"/>
        <v>1750000000</v>
      </c>
      <c r="BA272" s="55">
        <f t="shared" si="26"/>
        <v>5500000000</v>
      </c>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row>
    <row r="273" spans="1:133" s="13" customFormat="1" ht="94.5" x14ac:dyDescent="0.25">
      <c r="A273" s="130" t="s">
        <v>533</v>
      </c>
      <c r="B273" s="132" t="s">
        <v>563</v>
      </c>
      <c r="C273" s="118" t="s">
        <v>564</v>
      </c>
      <c r="D273" s="118" t="s">
        <v>565</v>
      </c>
      <c r="E273" s="152">
        <v>290026667</v>
      </c>
      <c r="F273" s="152">
        <f>+(((E273*1.05)*1.05)*1.05)*1.05</f>
        <v>352529226.40516889</v>
      </c>
      <c r="G273" s="104" t="s">
        <v>566</v>
      </c>
      <c r="H273" s="104" t="s">
        <v>1407</v>
      </c>
      <c r="I273" s="103" t="s">
        <v>567</v>
      </c>
      <c r="J273" s="103" t="s">
        <v>1683</v>
      </c>
      <c r="K273" s="56">
        <v>0</v>
      </c>
      <c r="L273" s="86">
        <v>100</v>
      </c>
      <c r="M273" s="56" t="s">
        <v>333</v>
      </c>
      <c r="N273" s="100" t="s">
        <v>539</v>
      </c>
      <c r="O273" s="54" t="s">
        <v>540</v>
      </c>
      <c r="P273" s="58" t="s">
        <v>39</v>
      </c>
      <c r="Q273" s="171" t="s">
        <v>1680</v>
      </c>
      <c r="R273" s="182">
        <v>0</v>
      </c>
      <c r="S273" s="178">
        <v>0</v>
      </c>
      <c r="T273" s="178">
        <v>50</v>
      </c>
      <c r="U273" s="183">
        <v>50</v>
      </c>
      <c r="V273" s="59"/>
      <c r="W273" s="60"/>
      <c r="X273" s="60"/>
      <c r="Y273" s="60"/>
      <c r="Z273" s="60"/>
      <c r="AA273" s="61"/>
      <c r="AB273" s="62">
        <v>800000000</v>
      </c>
      <c r="AC273" s="60"/>
      <c r="AD273" s="60"/>
      <c r="AE273" s="60"/>
      <c r="AF273" s="60"/>
      <c r="AG273" s="60"/>
      <c r="AH273" s="63"/>
      <c r="AI273" s="62">
        <v>500000000</v>
      </c>
      <c r="AJ273" s="60"/>
      <c r="AK273" s="60"/>
      <c r="AL273" s="60"/>
      <c r="AM273" s="60"/>
      <c r="AN273" s="60"/>
      <c r="AO273" s="63"/>
      <c r="AP273" s="62">
        <v>500000000</v>
      </c>
      <c r="AQ273" s="60"/>
      <c r="AR273" s="60"/>
      <c r="AS273" s="60"/>
      <c r="AT273" s="60"/>
      <c r="AU273" s="60"/>
      <c r="AV273" s="64"/>
      <c r="AW273" s="55">
        <f t="shared" si="22"/>
        <v>0</v>
      </c>
      <c r="AX273" s="55">
        <f t="shared" si="23"/>
        <v>800000000</v>
      </c>
      <c r="AY273" s="55">
        <f t="shared" si="24"/>
        <v>500000000</v>
      </c>
      <c r="AZ273" s="55">
        <f t="shared" si="25"/>
        <v>500000000</v>
      </c>
      <c r="BA273" s="55">
        <f t="shared" si="26"/>
        <v>1800000000</v>
      </c>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row>
    <row r="274" spans="1:133" s="13" customFormat="1" ht="94.5" x14ac:dyDescent="0.25">
      <c r="A274" s="130" t="s">
        <v>533</v>
      </c>
      <c r="B274" s="132" t="s">
        <v>563</v>
      </c>
      <c r="C274" s="118" t="s">
        <v>564</v>
      </c>
      <c r="D274" s="118" t="s">
        <v>565</v>
      </c>
      <c r="E274" s="152">
        <v>290026667</v>
      </c>
      <c r="F274" s="152">
        <f>+(((E274*1.05)*1.05)*1.05)*1.05</f>
        <v>352529226.40516889</v>
      </c>
      <c r="G274" s="104" t="s">
        <v>568</v>
      </c>
      <c r="H274" s="104" t="s">
        <v>1408</v>
      </c>
      <c r="I274" s="103" t="s">
        <v>569</v>
      </c>
      <c r="J274" s="103" t="s">
        <v>1682</v>
      </c>
      <c r="K274" s="178">
        <v>0</v>
      </c>
      <c r="L274" s="179">
        <v>100</v>
      </c>
      <c r="M274" s="56" t="s">
        <v>333</v>
      </c>
      <c r="N274" s="100" t="s">
        <v>539</v>
      </c>
      <c r="O274" s="54" t="s">
        <v>540</v>
      </c>
      <c r="P274" s="58" t="s">
        <v>39</v>
      </c>
      <c r="Q274" s="171" t="s">
        <v>1680</v>
      </c>
      <c r="R274" s="182">
        <v>20</v>
      </c>
      <c r="S274" s="178">
        <v>0</v>
      </c>
      <c r="T274" s="178">
        <v>40</v>
      </c>
      <c r="U274" s="183">
        <v>40</v>
      </c>
      <c r="V274" s="59">
        <v>100000000</v>
      </c>
      <c r="W274" s="60"/>
      <c r="X274" s="60"/>
      <c r="Y274" s="60"/>
      <c r="Z274" s="60"/>
      <c r="AA274" s="61"/>
      <c r="AB274" s="62">
        <v>200000000</v>
      </c>
      <c r="AC274" s="60"/>
      <c r="AD274" s="60"/>
      <c r="AE274" s="60"/>
      <c r="AF274" s="60"/>
      <c r="AG274" s="60"/>
      <c r="AH274" s="63"/>
      <c r="AI274" s="62">
        <v>200000000</v>
      </c>
      <c r="AJ274" s="60"/>
      <c r="AK274" s="60"/>
      <c r="AL274" s="60"/>
      <c r="AM274" s="60"/>
      <c r="AN274" s="60"/>
      <c r="AO274" s="63"/>
      <c r="AP274" s="62">
        <v>100000000</v>
      </c>
      <c r="AQ274" s="60"/>
      <c r="AR274" s="60"/>
      <c r="AS274" s="60"/>
      <c r="AT274" s="60"/>
      <c r="AU274" s="60"/>
      <c r="AV274" s="64"/>
      <c r="AW274" s="55">
        <f t="shared" si="22"/>
        <v>100000000</v>
      </c>
      <c r="AX274" s="55">
        <f t="shared" si="23"/>
        <v>200000000</v>
      </c>
      <c r="AY274" s="55">
        <f t="shared" si="24"/>
        <v>200000000</v>
      </c>
      <c r="AZ274" s="55">
        <f t="shared" si="25"/>
        <v>100000000</v>
      </c>
      <c r="BA274" s="55">
        <f t="shared" si="26"/>
        <v>600000000</v>
      </c>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row>
    <row r="275" spans="1:133" s="13" customFormat="1" ht="94.5" x14ac:dyDescent="0.25">
      <c r="A275" s="130" t="s">
        <v>533</v>
      </c>
      <c r="B275" s="132" t="s">
        <v>563</v>
      </c>
      <c r="C275" s="118" t="s">
        <v>564</v>
      </c>
      <c r="D275" s="118" t="s">
        <v>565</v>
      </c>
      <c r="E275" s="152">
        <v>290026667</v>
      </c>
      <c r="F275" s="152">
        <f>+(((E275*1.05)*1.05)*1.05)*1.05</f>
        <v>352529226.40516889</v>
      </c>
      <c r="G275" s="104" t="s">
        <v>570</v>
      </c>
      <c r="H275" s="104" t="s">
        <v>1409</v>
      </c>
      <c r="I275" s="103" t="s">
        <v>571</v>
      </c>
      <c r="J275" s="103" t="s">
        <v>1682</v>
      </c>
      <c r="K275" s="178">
        <v>0</v>
      </c>
      <c r="L275" s="179">
        <v>100</v>
      </c>
      <c r="M275" s="56" t="s">
        <v>333</v>
      </c>
      <c r="N275" s="100" t="s">
        <v>539</v>
      </c>
      <c r="O275" s="54" t="s">
        <v>540</v>
      </c>
      <c r="P275" s="58" t="s">
        <v>39</v>
      </c>
      <c r="Q275" s="171" t="s">
        <v>1680</v>
      </c>
      <c r="R275" s="182">
        <v>0</v>
      </c>
      <c r="S275" s="178">
        <v>40</v>
      </c>
      <c r="T275" s="178">
        <v>40</v>
      </c>
      <c r="U275" s="183">
        <v>20</v>
      </c>
      <c r="V275" s="59"/>
      <c r="W275" s="60"/>
      <c r="X275" s="60"/>
      <c r="Y275" s="60"/>
      <c r="Z275" s="60"/>
      <c r="AA275" s="61"/>
      <c r="AB275" s="62">
        <v>1000000000</v>
      </c>
      <c r="AC275" s="60"/>
      <c r="AD275" s="60"/>
      <c r="AE275" s="60"/>
      <c r="AF275" s="60"/>
      <c r="AG275" s="60"/>
      <c r="AH275" s="63"/>
      <c r="AI275" s="62">
        <v>300000000</v>
      </c>
      <c r="AJ275" s="60"/>
      <c r="AK275" s="60"/>
      <c r="AL275" s="60"/>
      <c r="AM275" s="60"/>
      <c r="AN275" s="60"/>
      <c r="AO275" s="63"/>
      <c r="AP275" s="62">
        <v>150000000</v>
      </c>
      <c r="AQ275" s="60"/>
      <c r="AR275" s="60"/>
      <c r="AS275" s="60"/>
      <c r="AT275" s="60"/>
      <c r="AU275" s="60"/>
      <c r="AV275" s="64"/>
      <c r="AW275" s="55">
        <f t="shared" si="22"/>
        <v>0</v>
      </c>
      <c r="AX275" s="55">
        <f t="shared" si="23"/>
        <v>1000000000</v>
      </c>
      <c r="AY275" s="55">
        <f t="shared" si="24"/>
        <v>300000000</v>
      </c>
      <c r="AZ275" s="55">
        <f t="shared" si="25"/>
        <v>150000000</v>
      </c>
      <c r="BA275" s="55">
        <f t="shared" si="26"/>
        <v>1450000000</v>
      </c>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row>
    <row r="276" spans="1:133" s="13" customFormat="1" ht="94.5" x14ac:dyDescent="0.25">
      <c r="A276" s="130" t="s">
        <v>533</v>
      </c>
      <c r="B276" s="132" t="s">
        <v>563</v>
      </c>
      <c r="C276" s="118" t="s">
        <v>564</v>
      </c>
      <c r="D276" s="118" t="s">
        <v>565</v>
      </c>
      <c r="E276" s="152">
        <v>290026667</v>
      </c>
      <c r="F276" s="152">
        <f>+(((E276*1.05)*1.05)*1.05)*1.05</f>
        <v>352529226.40516889</v>
      </c>
      <c r="G276" s="104" t="s">
        <v>572</v>
      </c>
      <c r="H276" s="104" t="s">
        <v>1410</v>
      </c>
      <c r="I276" s="103" t="s">
        <v>573</v>
      </c>
      <c r="J276" s="103" t="s">
        <v>1682</v>
      </c>
      <c r="K276" s="178">
        <v>0</v>
      </c>
      <c r="L276" s="179">
        <v>100</v>
      </c>
      <c r="M276" s="56" t="s">
        <v>333</v>
      </c>
      <c r="N276" s="100" t="s">
        <v>539</v>
      </c>
      <c r="O276" s="54" t="s">
        <v>540</v>
      </c>
      <c r="P276" s="58" t="s">
        <v>39</v>
      </c>
      <c r="Q276" s="171" t="s">
        <v>1680</v>
      </c>
      <c r="R276" s="182">
        <v>10</v>
      </c>
      <c r="S276" s="178">
        <v>20</v>
      </c>
      <c r="T276" s="178">
        <v>30</v>
      </c>
      <c r="U276" s="183">
        <v>40</v>
      </c>
      <c r="V276" s="59">
        <v>100000000</v>
      </c>
      <c r="W276" s="60"/>
      <c r="X276" s="60"/>
      <c r="Y276" s="60"/>
      <c r="Z276" s="60"/>
      <c r="AA276" s="61"/>
      <c r="AB276" s="62">
        <v>960000000</v>
      </c>
      <c r="AC276" s="60"/>
      <c r="AD276" s="60"/>
      <c r="AE276" s="60"/>
      <c r="AF276" s="60"/>
      <c r="AG276" s="60"/>
      <c r="AH276" s="63"/>
      <c r="AI276" s="62">
        <v>110000000</v>
      </c>
      <c r="AJ276" s="60"/>
      <c r="AK276" s="60"/>
      <c r="AL276" s="60"/>
      <c r="AM276" s="60"/>
      <c r="AN276" s="60"/>
      <c r="AO276" s="63"/>
      <c r="AP276" s="62">
        <v>110000000</v>
      </c>
      <c r="AQ276" s="60"/>
      <c r="AR276" s="60"/>
      <c r="AS276" s="60"/>
      <c r="AT276" s="60"/>
      <c r="AU276" s="60"/>
      <c r="AV276" s="64"/>
      <c r="AW276" s="55">
        <f t="shared" si="22"/>
        <v>100000000</v>
      </c>
      <c r="AX276" s="55">
        <f t="shared" si="23"/>
        <v>960000000</v>
      </c>
      <c r="AY276" s="55">
        <f t="shared" si="24"/>
        <v>110000000</v>
      </c>
      <c r="AZ276" s="55">
        <f t="shared" si="25"/>
        <v>110000000</v>
      </c>
      <c r="BA276" s="55">
        <f t="shared" si="26"/>
        <v>1280000000</v>
      </c>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row>
    <row r="277" spans="1:133" s="13" customFormat="1" ht="78.75" x14ac:dyDescent="0.25">
      <c r="A277" s="130" t="s">
        <v>533</v>
      </c>
      <c r="B277" s="132" t="s">
        <v>563</v>
      </c>
      <c r="C277" s="118" t="s">
        <v>574</v>
      </c>
      <c r="D277" s="118" t="s">
        <v>575</v>
      </c>
      <c r="E277" s="118" t="s">
        <v>41</v>
      </c>
      <c r="F277" s="118">
        <v>2000000</v>
      </c>
      <c r="G277" s="104" t="s">
        <v>576</v>
      </c>
      <c r="H277" s="104" t="s">
        <v>1411</v>
      </c>
      <c r="I277" s="103" t="s">
        <v>577</v>
      </c>
      <c r="J277" s="103" t="s">
        <v>1683</v>
      </c>
      <c r="K277" s="56">
        <v>0</v>
      </c>
      <c r="L277" s="86">
        <v>750</v>
      </c>
      <c r="M277" s="56" t="s">
        <v>333</v>
      </c>
      <c r="N277" s="100" t="s">
        <v>539</v>
      </c>
      <c r="O277" s="54" t="s">
        <v>540</v>
      </c>
      <c r="P277" s="58" t="s">
        <v>39</v>
      </c>
      <c r="Q277" s="171" t="s">
        <v>1680</v>
      </c>
      <c r="R277" s="182">
        <v>50</v>
      </c>
      <c r="S277" s="178">
        <v>200</v>
      </c>
      <c r="T277" s="178">
        <v>250</v>
      </c>
      <c r="U277" s="183">
        <v>250</v>
      </c>
      <c r="V277" s="59"/>
      <c r="W277" s="60">
        <v>136947557</v>
      </c>
      <c r="X277" s="60"/>
      <c r="Y277" s="60"/>
      <c r="Z277" s="60"/>
      <c r="AA277" s="61"/>
      <c r="AB277" s="62">
        <v>3000000000</v>
      </c>
      <c r="AC277" s="60"/>
      <c r="AD277" s="60"/>
      <c r="AE277" s="60"/>
      <c r="AF277" s="60"/>
      <c r="AG277" s="60"/>
      <c r="AH277" s="63"/>
      <c r="AI277" s="62">
        <v>3000000000</v>
      </c>
      <c r="AJ277" s="60"/>
      <c r="AK277" s="60"/>
      <c r="AL277" s="60"/>
      <c r="AM277" s="60"/>
      <c r="AN277" s="60"/>
      <c r="AO277" s="63"/>
      <c r="AP277" s="62">
        <v>3000000000</v>
      </c>
      <c r="AQ277" s="60"/>
      <c r="AR277" s="60"/>
      <c r="AS277" s="60"/>
      <c r="AT277" s="60"/>
      <c r="AU277" s="60"/>
      <c r="AV277" s="64"/>
      <c r="AW277" s="55">
        <f t="shared" si="22"/>
        <v>136947557</v>
      </c>
      <c r="AX277" s="55">
        <f t="shared" si="23"/>
        <v>3000000000</v>
      </c>
      <c r="AY277" s="55">
        <f t="shared" si="24"/>
        <v>3000000000</v>
      </c>
      <c r="AZ277" s="55">
        <f t="shared" si="25"/>
        <v>3000000000</v>
      </c>
      <c r="BA277" s="55">
        <f t="shared" si="26"/>
        <v>9136947557</v>
      </c>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row>
    <row r="278" spans="1:133" s="13" customFormat="1" ht="78.75" x14ac:dyDescent="0.25">
      <c r="A278" s="130" t="s">
        <v>533</v>
      </c>
      <c r="B278" s="132" t="s">
        <v>563</v>
      </c>
      <c r="C278" s="118" t="s">
        <v>574</v>
      </c>
      <c r="D278" s="118" t="s">
        <v>575</v>
      </c>
      <c r="E278" s="118" t="s">
        <v>41</v>
      </c>
      <c r="F278" s="118">
        <v>2000000</v>
      </c>
      <c r="G278" s="122" t="s">
        <v>578</v>
      </c>
      <c r="H278" s="122" t="s">
        <v>1412</v>
      </c>
      <c r="I278" s="103" t="s">
        <v>579</v>
      </c>
      <c r="J278" s="103" t="s">
        <v>1682</v>
      </c>
      <c r="K278" s="178">
        <v>0</v>
      </c>
      <c r="L278" s="179">
        <v>100</v>
      </c>
      <c r="M278" s="56" t="s">
        <v>333</v>
      </c>
      <c r="N278" s="100" t="s">
        <v>539</v>
      </c>
      <c r="O278" s="54" t="s">
        <v>540</v>
      </c>
      <c r="P278" s="58" t="s">
        <v>39</v>
      </c>
      <c r="Q278" s="171" t="s">
        <v>1680</v>
      </c>
      <c r="R278" s="182">
        <v>20</v>
      </c>
      <c r="S278" s="178">
        <v>50</v>
      </c>
      <c r="T278" s="178">
        <v>30</v>
      </c>
      <c r="U278" s="183">
        <v>0</v>
      </c>
      <c r="V278" s="59">
        <f>198000000/2</f>
        <v>99000000</v>
      </c>
      <c r="W278" s="60"/>
      <c r="X278" s="60"/>
      <c r="Y278" s="60"/>
      <c r="Z278" s="60"/>
      <c r="AA278" s="61"/>
      <c r="AB278" s="62">
        <f>1740000000/2</f>
        <v>870000000</v>
      </c>
      <c r="AC278" s="60"/>
      <c r="AD278" s="60"/>
      <c r="AE278" s="60"/>
      <c r="AF278" s="60"/>
      <c r="AG278" s="60"/>
      <c r="AH278" s="63"/>
      <c r="AI278" s="62">
        <f>1740000000/2</f>
        <v>870000000</v>
      </c>
      <c r="AJ278" s="60"/>
      <c r="AK278" s="60"/>
      <c r="AL278" s="60"/>
      <c r="AM278" s="60"/>
      <c r="AN278" s="60"/>
      <c r="AO278" s="63"/>
      <c r="AP278" s="62">
        <v>0</v>
      </c>
      <c r="AQ278" s="60"/>
      <c r="AR278" s="60"/>
      <c r="AS278" s="60"/>
      <c r="AT278" s="60"/>
      <c r="AU278" s="60"/>
      <c r="AV278" s="64"/>
      <c r="AW278" s="55">
        <f t="shared" si="22"/>
        <v>99000000</v>
      </c>
      <c r="AX278" s="55">
        <f t="shared" si="23"/>
        <v>870000000</v>
      </c>
      <c r="AY278" s="55">
        <f t="shared" si="24"/>
        <v>870000000</v>
      </c>
      <c r="AZ278" s="55">
        <f t="shared" si="25"/>
        <v>0</v>
      </c>
      <c r="BA278" s="55">
        <f t="shared" si="26"/>
        <v>1839000000</v>
      </c>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c r="EC278" s="32"/>
    </row>
    <row r="279" spans="1:133" s="13" customFormat="1" ht="78.75" x14ac:dyDescent="0.25">
      <c r="A279" s="130" t="s">
        <v>533</v>
      </c>
      <c r="B279" s="132" t="s">
        <v>563</v>
      </c>
      <c r="C279" s="118" t="s">
        <v>574</v>
      </c>
      <c r="D279" s="118" t="s">
        <v>575</v>
      </c>
      <c r="E279" s="118" t="s">
        <v>41</v>
      </c>
      <c r="F279" s="118">
        <v>2000000</v>
      </c>
      <c r="G279" s="122" t="s">
        <v>578</v>
      </c>
      <c r="H279" s="122" t="s">
        <v>1413</v>
      </c>
      <c r="I279" s="103" t="s">
        <v>580</v>
      </c>
      <c r="J279" s="103" t="s">
        <v>1682</v>
      </c>
      <c r="K279" s="178">
        <v>0</v>
      </c>
      <c r="L279" s="179">
        <v>100</v>
      </c>
      <c r="M279" s="56" t="s">
        <v>333</v>
      </c>
      <c r="N279" s="100" t="s">
        <v>539</v>
      </c>
      <c r="O279" s="54" t="s">
        <v>540</v>
      </c>
      <c r="P279" s="58" t="s">
        <v>39</v>
      </c>
      <c r="Q279" s="171" t="s">
        <v>1680</v>
      </c>
      <c r="R279" s="182">
        <v>10</v>
      </c>
      <c r="S279" s="178">
        <v>30</v>
      </c>
      <c r="T279" s="178">
        <v>30</v>
      </c>
      <c r="U279" s="183">
        <v>30</v>
      </c>
      <c r="V279" s="59">
        <f>198000000/2</f>
        <v>99000000</v>
      </c>
      <c r="W279" s="60"/>
      <c r="X279" s="60"/>
      <c r="Y279" s="60"/>
      <c r="Z279" s="60"/>
      <c r="AA279" s="61"/>
      <c r="AB279" s="62">
        <f>1740000000/2</f>
        <v>870000000</v>
      </c>
      <c r="AC279" s="60"/>
      <c r="AD279" s="60"/>
      <c r="AE279" s="60"/>
      <c r="AF279" s="60"/>
      <c r="AG279" s="60"/>
      <c r="AH279" s="63"/>
      <c r="AI279" s="62">
        <f>1740000000/2</f>
        <v>870000000</v>
      </c>
      <c r="AJ279" s="60"/>
      <c r="AK279" s="60"/>
      <c r="AL279" s="60"/>
      <c r="AM279" s="60"/>
      <c r="AN279" s="60"/>
      <c r="AO279" s="63"/>
      <c r="AP279" s="62">
        <v>1740000000</v>
      </c>
      <c r="AQ279" s="60"/>
      <c r="AR279" s="60"/>
      <c r="AS279" s="60"/>
      <c r="AT279" s="60"/>
      <c r="AU279" s="60"/>
      <c r="AV279" s="64"/>
      <c r="AW279" s="55">
        <f t="shared" si="22"/>
        <v>99000000</v>
      </c>
      <c r="AX279" s="55">
        <f t="shared" si="23"/>
        <v>870000000</v>
      </c>
      <c r="AY279" s="55">
        <f t="shared" si="24"/>
        <v>870000000</v>
      </c>
      <c r="AZ279" s="55">
        <f t="shared" si="25"/>
        <v>1740000000</v>
      </c>
      <c r="BA279" s="55">
        <f t="shared" si="26"/>
        <v>3579000000</v>
      </c>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row>
    <row r="280" spans="1:133" s="13" customFormat="1" ht="78.75" x14ac:dyDescent="0.25">
      <c r="A280" s="130" t="s">
        <v>533</v>
      </c>
      <c r="B280" s="132" t="s">
        <v>563</v>
      </c>
      <c r="C280" s="118" t="s">
        <v>574</v>
      </c>
      <c r="D280" s="118" t="s">
        <v>575</v>
      </c>
      <c r="E280" s="118" t="s">
        <v>41</v>
      </c>
      <c r="F280" s="118">
        <v>2000000</v>
      </c>
      <c r="G280" s="140" t="s">
        <v>581</v>
      </c>
      <c r="H280" s="140" t="s">
        <v>1414</v>
      </c>
      <c r="I280" s="103" t="s">
        <v>582</v>
      </c>
      <c r="J280" s="103" t="s">
        <v>1683</v>
      </c>
      <c r="K280" s="56">
        <v>0</v>
      </c>
      <c r="L280" s="86">
        <v>1</v>
      </c>
      <c r="M280" s="56" t="s">
        <v>333</v>
      </c>
      <c r="N280" s="100" t="s">
        <v>369</v>
      </c>
      <c r="O280" s="54" t="s">
        <v>540</v>
      </c>
      <c r="P280" s="58" t="s">
        <v>39</v>
      </c>
      <c r="Q280" s="171" t="s">
        <v>1680</v>
      </c>
      <c r="R280" s="182">
        <v>0</v>
      </c>
      <c r="S280" s="178">
        <v>0</v>
      </c>
      <c r="T280" s="178">
        <v>0</v>
      </c>
      <c r="U280" s="183">
        <v>1</v>
      </c>
      <c r="V280" s="59"/>
      <c r="W280" s="60"/>
      <c r="X280" s="60"/>
      <c r="Y280" s="60"/>
      <c r="Z280" s="60"/>
      <c r="AA280" s="61"/>
      <c r="AB280" s="62">
        <v>2000000000</v>
      </c>
      <c r="AC280" s="60"/>
      <c r="AD280" s="60"/>
      <c r="AE280" s="60"/>
      <c r="AF280" s="60"/>
      <c r="AG280" s="60"/>
      <c r="AH280" s="63"/>
      <c r="AI280" s="62"/>
      <c r="AJ280" s="60"/>
      <c r="AK280" s="60"/>
      <c r="AL280" s="60"/>
      <c r="AM280" s="60"/>
      <c r="AN280" s="60"/>
      <c r="AO280" s="63"/>
      <c r="AP280" s="62"/>
      <c r="AQ280" s="60"/>
      <c r="AR280" s="60"/>
      <c r="AS280" s="60"/>
      <c r="AT280" s="60"/>
      <c r="AU280" s="60"/>
      <c r="AV280" s="64"/>
      <c r="AW280" s="55">
        <f t="shared" si="22"/>
        <v>0</v>
      </c>
      <c r="AX280" s="55">
        <f t="shared" si="23"/>
        <v>2000000000</v>
      </c>
      <c r="AY280" s="55">
        <f t="shared" si="24"/>
        <v>0</v>
      </c>
      <c r="AZ280" s="55">
        <f t="shared" si="25"/>
        <v>0</v>
      </c>
      <c r="BA280" s="55">
        <f t="shared" si="26"/>
        <v>2000000000</v>
      </c>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c r="EC280" s="32"/>
    </row>
    <row r="281" spans="1:133" s="13" customFormat="1" ht="78.75" x14ac:dyDescent="0.25">
      <c r="A281" s="130" t="s">
        <v>533</v>
      </c>
      <c r="B281" s="132" t="s">
        <v>563</v>
      </c>
      <c r="C281" s="118" t="s">
        <v>574</v>
      </c>
      <c r="D281" s="118" t="s">
        <v>575</v>
      </c>
      <c r="E281" s="118" t="s">
        <v>41</v>
      </c>
      <c r="F281" s="118">
        <v>2000000</v>
      </c>
      <c r="G281" s="140" t="s">
        <v>581</v>
      </c>
      <c r="H281" s="140" t="s">
        <v>1415</v>
      </c>
      <c r="I281" s="103" t="s">
        <v>583</v>
      </c>
      <c r="J281" s="103" t="s">
        <v>1682</v>
      </c>
      <c r="K281" s="178">
        <v>0</v>
      </c>
      <c r="L281" s="179">
        <v>100</v>
      </c>
      <c r="M281" s="56" t="s">
        <v>584</v>
      </c>
      <c r="N281" s="100" t="s">
        <v>369</v>
      </c>
      <c r="O281" s="54" t="s">
        <v>540</v>
      </c>
      <c r="P281" s="58" t="s">
        <v>39</v>
      </c>
      <c r="Q281" s="58" t="s">
        <v>1680</v>
      </c>
      <c r="R281" s="182">
        <v>25</v>
      </c>
      <c r="S281" s="178">
        <v>25</v>
      </c>
      <c r="T281" s="178">
        <v>25</v>
      </c>
      <c r="U281" s="183">
        <v>25</v>
      </c>
      <c r="V281" s="59">
        <v>90000000</v>
      </c>
      <c r="W281" s="60"/>
      <c r="X281" s="60"/>
      <c r="Y281" s="60"/>
      <c r="Z281" s="60"/>
      <c r="AA281" s="61"/>
      <c r="AB281" s="62">
        <v>6000000000</v>
      </c>
      <c r="AC281" s="60"/>
      <c r="AD281" s="60"/>
      <c r="AE281" s="60"/>
      <c r="AF281" s="60"/>
      <c r="AG281" s="60"/>
      <c r="AH281" s="63"/>
      <c r="AI281" s="62">
        <v>4000000000</v>
      </c>
      <c r="AJ281" s="60"/>
      <c r="AK281" s="60"/>
      <c r="AL281" s="60"/>
      <c r="AM281" s="60"/>
      <c r="AN281" s="60"/>
      <c r="AO281" s="63"/>
      <c r="AP281" s="62">
        <v>6000000000</v>
      </c>
      <c r="AQ281" s="60"/>
      <c r="AR281" s="60"/>
      <c r="AS281" s="60"/>
      <c r="AT281" s="60"/>
      <c r="AU281" s="60"/>
      <c r="AV281" s="64"/>
      <c r="AW281" s="55">
        <f t="shared" si="22"/>
        <v>90000000</v>
      </c>
      <c r="AX281" s="55">
        <f t="shared" si="23"/>
        <v>6000000000</v>
      </c>
      <c r="AY281" s="55">
        <f t="shared" si="24"/>
        <v>4000000000</v>
      </c>
      <c r="AZ281" s="55">
        <f t="shared" si="25"/>
        <v>6000000000</v>
      </c>
      <c r="BA281" s="55">
        <f t="shared" si="26"/>
        <v>16090000000</v>
      </c>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row>
    <row r="282" spans="1:133" s="13" customFormat="1" ht="78.75" x14ac:dyDescent="0.25">
      <c r="A282" s="130" t="s">
        <v>533</v>
      </c>
      <c r="B282" s="132" t="s">
        <v>563</v>
      </c>
      <c r="C282" s="110" t="s">
        <v>585</v>
      </c>
      <c r="D282" s="110" t="s">
        <v>586</v>
      </c>
      <c r="E282" s="110">
        <v>94486</v>
      </c>
      <c r="F282" s="151">
        <f t="shared" ref="F282:F290" si="27">E282*1.05</f>
        <v>99210.3</v>
      </c>
      <c r="G282" s="123" t="s">
        <v>587</v>
      </c>
      <c r="H282" s="123" t="s">
        <v>1416</v>
      </c>
      <c r="I282" s="103" t="s">
        <v>588</v>
      </c>
      <c r="J282" s="103" t="s">
        <v>1683</v>
      </c>
      <c r="K282" s="56">
        <v>0</v>
      </c>
      <c r="L282" s="86">
        <v>1</v>
      </c>
      <c r="M282" s="56" t="s">
        <v>333</v>
      </c>
      <c r="N282" s="100" t="s">
        <v>539</v>
      </c>
      <c r="O282" s="54" t="s">
        <v>540</v>
      </c>
      <c r="P282" s="58" t="s">
        <v>39</v>
      </c>
      <c r="Q282" s="171" t="s">
        <v>1680</v>
      </c>
      <c r="R282" s="182">
        <v>0</v>
      </c>
      <c r="S282" s="178">
        <v>1</v>
      </c>
      <c r="T282" s="178">
        <v>0</v>
      </c>
      <c r="U282" s="183">
        <v>0</v>
      </c>
      <c r="V282" s="59"/>
      <c r="W282" s="60"/>
      <c r="X282" s="60"/>
      <c r="Y282" s="60"/>
      <c r="Z282" s="60"/>
      <c r="AA282" s="61"/>
      <c r="AB282" s="62">
        <v>225000000</v>
      </c>
      <c r="AC282" s="60"/>
      <c r="AD282" s="60"/>
      <c r="AE282" s="60"/>
      <c r="AF282" s="60"/>
      <c r="AG282" s="60"/>
      <c r="AH282" s="63"/>
      <c r="AI282" s="62"/>
      <c r="AJ282" s="60"/>
      <c r="AK282" s="60"/>
      <c r="AL282" s="60"/>
      <c r="AM282" s="60"/>
      <c r="AN282" s="60"/>
      <c r="AO282" s="63"/>
      <c r="AP282" s="62">
        <v>0</v>
      </c>
      <c r="AQ282" s="60"/>
      <c r="AR282" s="60"/>
      <c r="AS282" s="60"/>
      <c r="AT282" s="60"/>
      <c r="AU282" s="60"/>
      <c r="AV282" s="64"/>
      <c r="AW282" s="55">
        <f t="shared" si="22"/>
        <v>0</v>
      </c>
      <c r="AX282" s="55">
        <f t="shared" si="23"/>
        <v>225000000</v>
      </c>
      <c r="AY282" s="55">
        <f t="shared" si="24"/>
        <v>0</v>
      </c>
      <c r="AZ282" s="55">
        <f t="shared" si="25"/>
        <v>0</v>
      </c>
      <c r="BA282" s="55">
        <f t="shared" si="26"/>
        <v>225000000</v>
      </c>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row>
    <row r="283" spans="1:133" s="13" customFormat="1" ht="94.5" x14ac:dyDescent="0.25">
      <c r="A283" s="130" t="s">
        <v>533</v>
      </c>
      <c r="B283" s="132" t="s">
        <v>563</v>
      </c>
      <c r="C283" s="110" t="s">
        <v>585</v>
      </c>
      <c r="D283" s="110" t="s">
        <v>586</v>
      </c>
      <c r="E283" s="110">
        <v>94486</v>
      </c>
      <c r="F283" s="151">
        <f t="shared" si="27"/>
        <v>99210.3</v>
      </c>
      <c r="G283" s="123" t="s">
        <v>587</v>
      </c>
      <c r="H283" s="123" t="s">
        <v>1417</v>
      </c>
      <c r="I283" s="103" t="s">
        <v>590</v>
      </c>
      <c r="J283" s="103" t="s">
        <v>1683</v>
      </c>
      <c r="K283" s="56">
        <v>0</v>
      </c>
      <c r="L283" s="86">
        <v>10</v>
      </c>
      <c r="M283" s="56" t="s">
        <v>333</v>
      </c>
      <c r="N283" s="100" t="s">
        <v>539</v>
      </c>
      <c r="O283" s="54" t="s">
        <v>540</v>
      </c>
      <c r="P283" s="58" t="s">
        <v>39</v>
      </c>
      <c r="Q283" s="171" t="s">
        <v>1680</v>
      </c>
      <c r="R283" s="182">
        <v>0</v>
      </c>
      <c r="S283" s="178">
        <v>2</v>
      </c>
      <c r="T283" s="178">
        <v>4</v>
      </c>
      <c r="U283" s="183">
        <v>4</v>
      </c>
      <c r="V283" s="59"/>
      <c r="W283" s="60"/>
      <c r="X283" s="60"/>
      <c r="Y283" s="60"/>
      <c r="Z283" s="60"/>
      <c r="AA283" s="61"/>
      <c r="AB283" s="62">
        <v>300000000</v>
      </c>
      <c r="AC283" s="60"/>
      <c r="AD283" s="60"/>
      <c r="AE283" s="60"/>
      <c r="AF283" s="60"/>
      <c r="AG283" s="60"/>
      <c r="AH283" s="63"/>
      <c r="AI283" s="62">
        <f>10000000+43784743</f>
        <v>53784743</v>
      </c>
      <c r="AJ283" s="60"/>
      <c r="AK283" s="60"/>
      <c r="AL283" s="60"/>
      <c r="AM283" s="60"/>
      <c r="AN283" s="60"/>
      <c r="AO283" s="63"/>
      <c r="AP283" s="62">
        <f>10700000+44636133</f>
        <v>55336133</v>
      </c>
      <c r="AQ283" s="60"/>
      <c r="AR283" s="60"/>
      <c r="AS283" s="60"/>
      <c r="AT283" s="60">
        <v>355555556</v>
      </c>
      <c r="AU283" s="60"/>
      <c r="AV283" s="64"/>
      <c r="AW283" s="55">
        <f t="shared" si="22"/>
        <v>0</v>
      </c>
      <c r="AX283" s="55">
        <f t="shared" si="23"/>
        <v>300000000</v>
      </c>
      <c r="AY283" s="55">
        <f t="shared" si="24"/>
        <v>53784743</v>
      </c>
      <c r="AZ283" s="55">
        <f t="shared" si="25"/>
        <v>410891689</v>
      </c>
      <c r="BA283" s="55">
        <f t="shared" si="26"/>
        <v>764676432</v>
      </c>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row>
    <row r="284" spans="1:133" s="13" customFormat="1" ht="78.75" x14ac:dyDescent="0.25">
      <c r="A284" s="130" t="s">
        <v>533</v>
      </c>
      <c r="B284" s="132" t="s">
        <v>563</v>
      </c>
      <c r="C284" s="110" t="s">
        <v>585</v>
      </c>
      <c r="D284" s="110" t="s">
        <v>586</v>
      </c>
      <c r="E284" s="110">
        <v>94486</v>
      </c>
      <c r="F284" s="151">
        <f t="shared" si="27"/>
        <v>99210.3</v>
      </c>
      <c r="G284" s="123" t="s">
        <v>587</v>
      </c>
      <c r="H284" s="123" t="s">
        <v>1418</v>
      </c>
      <c r="I284" s="103" t="s">
        <v>591</v>
      </c>
      <c r="J284" s="103" t="s">
        <v>1682</v>
      </c>
      <c r="K284" s="56" t="s">
        <v>90</v>
      </c>
      <c r="L284" s="179">
        <v>100</v>
      </c>
      <c r="M284" s="56" t="s">
        <v>333</v>
      </c>
      <c r="N284" s="100" t="s">
        <v>539</v>
      </c>
      <c r="O284" s="54" t="s">
        <v>540</v>
      </c>
      <c r="P284" s="58" t="s">
        <v>39</v>
      </c>
      <c r="Q284" s="171" t="s">
        <v>1680</v>
      </c>
      <c r="R284" s="182">
        <v>0</v>
      </c>
      <c r="S284" s="178">
        <v>20</v>
      </c>
      <c r="T284" s="178">
        <v>30</v>
      </c>
      <c r="U284" s="183">
        <v>50</v>
      </c>
      <c r="V284" s="59"/>
      <c r="W284" s="60"/>
      <c r="X284" s="60"/>
      <c r="Y284" s="60"/>
      <c r="Z284" s="60"/>
      <c r="AA284" s="61"/>
      <c r="AB284" s="62">
        <v>5000000</v>
      </c>
      <c r="AC284" s="60"/>
      <c r="AD284" s="60"/>
      <c r="AE284" s="60"/>
      <c r="AF284" s="60"/>
      <c r="AG284" s="60"/>
      <c r="AH284" s="63"/>
      <c r="AI284" s="62">
        <v>10000000</v>
      </c>
      <c r="AJ284" s="60"/>
      <c r="AK284" s="60"/>
      <c r="AL284" s="60"/>
      <c r="AM284" s="60"/>
      <c r="AN284" s="60"/>
      <c r="AO284" s="63"/>
      <c r="AP284" s="62">
        <f>10700000+10700000</f>
        <v>21400000</v>
      </c>
      <c r="AQ284" s="60"/>
      <c r="AR284" s="60"/>
      <c r="AS284" s="60"/>
      <c r="AT284" s="60">
        <v>200000000</v>
      </c>
      <c r="AU284" s="60"/>
      <c r="AV284" s="64"/>
      <c r="AW284" s="55">
        <f t="shared" si="22"/>
        <v>0</v>
      </c>
      <c r="AX284" s="55">
        <f t="shared" si="23"/>
        <v>5000000</v>
      </c>
      <c r="AY284" s="55">
        <f t="shared" si="24"/>
        <v>10000000</v>
      </c>
      <c r="AZ284" s="55">
        <f t="shared" si="25"/>
        <v>221400000</v>
      </c>
      <c r="BA284" s="55">
        <f t="shared" si="26"/>
        <v>236400000</v>
      </c>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row>
    <row r="285" spans="1:133" s="13" customFormat="1" ht="78.75" x14ac:dyDescent="0.25">
      <c r="A285" s="130" t="s">
        <v>533</v>
      </c>
      <c r="B285" s="132" t="s">
        <v>563</v>
      </c>
      <c r="C285" s="110" t="s">
        <v>585</v>
      </c>
      <c r="D285" s="110" t="s">
        <v>586</v>
      </c>
      <c r="E285" s="110">
        <v>94486</v>
      </c>
      <c r="F285" s="151">
        <f t="shared" si="27"/>
        <v>99210.3</v>
      </c>
      <c r="G285" s="123" t="s">
        <v>587</v>
      </c>
      <c r="H285" s="123" t="s">
        <v>1419</v>
      </c>
      <c r="I285" s="103" t="s">
        <v>592</v>
      </c>
      <c r="J285" s="103" t="s">
        <v>1683</v>
      </c>
      <c r="K285" s="56">
        <v>0</v>
      </c>
      <c r="L285" s="86">
        <v>1</v>
      </c>
      <c r="M285" s="56" t="s">
        <v>333</v>
      </c>
      <c r="N285" s="100" t="s">
        <v>539</v>
      </c>
      <c r="O285" s="54" t="s">
        <v>540</v>
      </c>
      <c r="P285" s="58" t="s">
        <v>39</v>
      </c>
      <c r="Q285" s="171" t="s">
        <v>1680</v>
      </c>
      <c r="R285" s="182">
        <v>0</v>
      </c>
      <c r="S285" s="178">
        <v>0</v>
      </c>
      <c r="T285" s="178">
        <v>1</v>
      </c>
      <c r="U285" s="183">
        <v>0</v>
      </c>
      <c r="V285" s="59"/>
      <c r="W285" s="60"/>
      <c r="X285" s="60"/>
      <c r="Y285" s="60"/>
      <c r="Z285" s="60"/>
      <c r="AA285" s="61"/>
      <c r="AB285" s="62"/>
      <c r="AC285" s="60"/>
      <c r="AD285" s="60"/>
      <c r="AE285" s="60"/>
      <c r="AF285" s="60"/>
      <c r="AG285" s="60"/>
      <c r="AH285" s="63"/>
      <c r="AI285" s="62">
        <v>10000000</v>
      </c>
      <c r="AJ285" s="60"/>
      <c r="AK285" s="60"/>
      <c r="AL285" s="60"/>
      <c r="AM285" s="60"/>
      <c r="AN285" s="60"/>
      <c r="AO285" s="63"/>
      <c r="AP285" s="62">
        <v>0</v>
      </c>
      <c r="AQ285" s="60"/>
      <c r="AR285" s="60"/>
      <c r="AS285" s="60"/>
      <c r="AT285" s="60">
        <v>0</v>
      </c>
      <c r="AU285" s="60"/>
      <c r="AV285" s="64"/>
      <c r="AW285" s="55">
        <f t="shared" si="22"/>
        <v>0</v>
      </c>
      <c r="AX285" s="55">
        <f t="shared" si="23"/>
        <v>0</v>
      </c>
      <c r="AY285" s="55">
        <f t="shared" si="24"/>
        <v>10000000</v>
      </c>
      <c r="AZ285" s="55">
        <f t="shared" si="25"/>
        <v>0</v>
      </c>
      <c r="BA285" s="55">
        <f t="shared" si="26"/>
        <v>10000000</v>
      </c>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row>
    <row r="286" spans="1:133" s="13" customFormat="1" ht="78.75" x14ac:dyDescent="0.25">
      <c r="A286" s="130" t="s">
        <v>533</v>
      </c>
      <c r="B286" s="132" t="s">
        <v>563</v>
      </c>
      <c r="C286" s="110" t="s">
        <v>585</v>
      </c>
      <c r="D286" s="110" t="s">
        <v>586</v>
      </c>
      <c r="E286" s="110">
        <v>94486</v>
      </c>
      <c r="F286" s="151">
        <f t="shared" si="27"/>
        <v>99210.3</v>
      </c>
      <c r="G286" s="123" t="s">
        <v>594</v>
      </c>
      <c r="H286" s="123" t="s">
        <v>1420</v>
      </c>
      <c r="I286" s="103" t="s">
        <v>595</v>
      </c>
      <c r="J286" s="103" t="s">
        <v>1685</v>
      </c>
      <c r="K286" s="56">
        <v>0</v>
      </c>
      <c r="L286" s="86">
        <v>5</v>
      </c>
      <c r="M286" s="56" t="s">
        <v>333</v>
      </c>
      <c r="N286" s="100" t="s">
        <v>539</v>
      </c>
      <c r="O286" s="54" t="s">
        <v>540</v>
      </c>
      <c r="P286" s="58" t="s">
        <v>39</v>
      </c>
      <c r="Q286" s="171" t="s">
        <v>1680</v>
      </c>
      <c r="R286" s="182">
        <v>1</v>
      </c>
      <c r="S286" s="178">
        <v>1</v>
      </c>
      <c r="T286" s="178">
        <v>1</v>
      </c>
      <c r="U286" s="183">
        <v>2</v>
      </c>
      <c r="V286" s="59">
        <v>81000000</v>
      </c>
      <c r="W286" s="60"/>
      <c r="X286" s="60"/>
      <c r="Y286" s="60"/>
      <c r="Z286" s="60"/>
      <c r="AA286" s="61"/>
      <c r="AB286" s="62">
        <f>36000000+6840605+10000000</f>
        <v>52840605</v>
      </c>
      <c r="AC286" s="60"/>
      <c r="AD286" s="60"/>
      <c r="AE286" s="60"/>
      <c r="AF286" s="60"/>
      <c r="AG286" s="60"/>
      <c r="AH286" s="63"/>
      <c r="AI286" s="62">
        <v>63084743</v>
      </c>
      <c r="AJ286" s="60"/>
      <c r="AK286" s="60"/>
      <c r="AL286" s="60"/>
      <c r="AM286" s="60"/>
      <c r="AN286" s="60"/>
      <c r="AO286" s="63"/>
      <c r="AP286" s="62">
        <f>65287133+11449000</f>
        <v>76736133</v>
      </c>
      <c r="AQ286" s="60"/>
      <c r="AR286" s="60"/>
      <c r="AS286" s="60"/>
      <c r="AT286" s="60">
        <v>555555556</v>
      </c>
      <c r="AU286" s="60"/>
      <c r="AV286" s="64"/>
      <c r="AW286" s="55">
        <f t="shared" si="22"/>
        <v>81000000</v>
      </c>
      <c r="AX286" s="55">
        <f t="shared" si="23"/>
        <v>52840605</v>
      </c>
      <c r="AY286" s="55">
        <f t="shared" si="24"/>
        <v>63084743</v>
      </c>
      <c r="AZ286" s="55">
        <f t="shared" si="25"/>
        <v>632291689</v>
      </c>
      <c r="BA286" s="55">
        <f t="shared" si="26"/>
        <v>829217037</v>
      </c>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row>
    <row r="287" spans="1:133" s="13" customFormat="1" ht="78.75" x14ac:dyDescent="0.25">
      <c r="A287" s="130" t="s">
        <v>533</v>
      </c>
      <c r="B287" s="132" t="s">
        <v>563</v>
      </c>
      <c r="C287" s="110" t="s">
        <v>585</v>
      </c>
      <c r="D287" s="110" t="s">
        <v>586</v>
      </c>
      <c r="E287" s="110">
        <v>94486</v>
      </c>
      <c r="F287" s="151">
        <f t="shared" si="27"/>
        <v>99210.3</v>
      </c>
      <c r="G287" s="123" t="s">
        <v>594</v>
      </c>
      <c r="H287" s="123" t="s">
        <v>1421</v>
      </c>
      <c r="I287" s="103" t="s">
        <v>596</v>
      </c>
      <c r="J287" s="103" t="s">
        <v>1683</v>
      </c>
      <c r="K287" s="56">
        <v>0</v>
      </c>
      <c r="L287" s="86">
        <v>1</v>
      </c>
      <c r="M287" s="56" t="s">
        <v>333</v>
      </c>
      <c r="N287" s="100" t="s">
        <v>539</v>
      </c>
      <c r="O287" s="54" t="s">
        <v>540</v>
      </c>
      <c r="P287" s="58" t="s">
        <v>39</v>
      </c>
      <c r="Q287" s="171" t="s">
        <v>1680</v>
      </c>
      <c r="R287" s="182">
        <v>0</v>
      </c>
      <c r="S287" s="178">
        <v>1</v>
      </c>
      <c r="T287" s="178">
        <v>0</v>
      </c>
      <c r="U287" s="183">
        <v>0</v>
      </c>
      <c r="V287" s="59"/>
      <c r="W287" s="60"/>
      <c r="X287" s="60"/>
      <c r="Y287" s="60"/>
      <c r="Z287" s="60"/>
      <c r="AA287" s="61"/>
      <c r="AB287" s="62"/>
      <c r="AC287" s="60"/>
      <c r="AD287" s="60"/>
      <c r="AE287" s="60"/>
      <c r="AF287" s="60"/>
      <c r="AG287" s="60"/>
      <c r="AH287" s="63"/>
      <c r="AI287" s="62">
        <v>10700000</v>
      </c>
      <c r="AJ287" s="60"/>
      <c r="AK287" s="60"/>
      <c r="AL287" s="60"/>
      <c r="AM287" s="60"/>
      <c r="AN287" s="60"/>
      <c r="AO287" s="63"/>
      <c r="AP287" s="62">
        <v>0</v>
      </c>
      <c r="AQ287" s="60"/>
      <c r="AR287" s="60"/>
      <c r="AS287" s="60"/>
      <c r="AT287" s="60">
        <v>0</v>
      </c>
      <c r="AU287" s="60"/>
      <c r="AV287" s="64"/>
      <c r="AW287" s="55">
        <f t="shared" si="22"/>
        <v>0</v>
      </c>
      <c r="AX287" s="55">
        <f t="shared" si="23"/>
        <v>0</v>
      </c>
      <c r="AY287" s="55">
        <f t="shared" si="24"/>
        <v>10700000</v>
      </c>
      <c r="AZ287" s="55">
        <f t="shared" si="25"/>
        <v>0</v>
      </c>
      <c r="BA287" s="55">
        <f t="shared" si="26"/>
        <v>10700000</v>
      </c>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row>
    <row r="288" spans="1:133" s="13" customFormat="1" ht="78.75" x14ac:dyDescent="0.25">
      <c r="A288" s="130" t="s">
        <v>533</v>
      </c>
      <c r="B288" s="132" t="s">
        <v>563</v>
      </c>
      <c r="C288" s="110" t="s">
        <v>585</v>
      </c>
      <c r="D288" s="110" t="s">
        <v>586</v>
      </c>
      <c r="E288" s="110">
        <v>94486</v>
      </c>
      <c r="F288" s="151">
        <f t="shared" si="27"/>
        <v>99210.3</v>
      </c>
      <c r="G288" s="104" t="s">
        <v>597</v>
      </c>
      <c r="H288" s="104" t="s">
        <v>1422</v>
      </c>
      <c r="I288" s="103" t="s">
        <v>598</v>
      </c>
      <c r="J288" s="103" t="s">
        <v>1683</v>
      </c>
      <c r="K288" s="56">
        <v>0</v>
      </c>
      <c r="L288" s="86">
        <v>1</v>
      </c>
      <c r="M288" s="56" t="s">
        <v>333</v>
      </c>
      <c r="N288" s="100" t="s">
        <v>539</v>
      </c>
      <c r="O288" s="54" t="s">
        <v>540</v>
      </c>
      <c r="P288" s="58" t="s">
        <v>39</v>
      </c>
      <c r="Q288" s="171" t="s">
        <v>1680</v>
      </c>
      <c r="R288" s="182">
        <v>0</v>
      </c>
      <c r="S288" s="178">
        <v>1</v>
      </c>
      <c r="T288" s="178">
        <v>0</v>
      </c>
      <c r="U288" s="183">
        <v>0</v>
      </c>
      <c r="V288" s="59"/>
      <c r="W288" s="60"/>
      <c r="X288" s="60"/>
      <c r="Y288" s="60"/>
      <c r="Z288" s="60"/>
      <c r="AA288" s="61"/>
      <c r="AB288" s="62">
        <v>200000000</v>
      </c>
      <c r="AC288" s="60"/>
      <c r="AD288" s="60"/>
      <c r="AE288" s="60"/>
      <c r="AF288" s="60"/>
      <c r="AG288" s="60"/>
      <c r="AH288" s="63"/>
      <c r="AI288" s="62"/>
      <c r="AJ288" s="60"/>
      <c r="AK288" s="60"/>
      <c r="AL288" s="60"/>
      <c r="AM288" s="60"/>
      <c r="AN288" s="60"/>
      <c r="AO288" s="63"/>
      <c r="AP288" s="62"/>
      <c r="AQ288" s="60"/>
      <c r="AR288" s="60"/>
      <c r="AS288" s="60"/>
      <c r="AT288" s="60"/>
      <c r="AU288" s="60"/>
      <c r="AV288" s="64"/>
      <c r="AW288" s="55">
        <f t="shared" si="22"/>
        <v>0</v>
      </c>
      <c r="AX288" s="55">
        <f t="shared" si="23"/>
        <v>200000000</v>
      </c>
      <c r="AY288" s="55">
        <f t="shared" si="24"/>
        <v>0</v>
      </c>
      <c r="AZ288" s="55">
        <f t="shared" si="25"/>
        <v>0</v>
      </c>
      <c r="BA288" s="55">
        <f t="shared" si="26"/>
        <v>200000000</v>
      </c>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row>
    <row r="289" spans="1:133" s="13" customFormat="1" ht="78.75" x14ac:dyDescent="0.25">
      <c r="A289" s="130" t="s">
        <v>533</v>
      </c>
      <c r="B289" s="132" t="s">
        <v>563</v>
      </c>
      <c r="C289" s="110" t="s">
        <v>585</v>
      </c>
      <c r="D289" s="110" t="s">
        <v>586</v>
      </c>
      <c r="E289" s="110">
        <v>94486</v>
      </c>
      <c r="F289" s="151">
        <f t="shared" si="27"/>
        <v>99210.3</v>
      </c>
      <c r="G289" s="104" t="s">
        <v>599</v>
      </c>
      <c r="H289" s="104" t="s">
        <v>1423</v>
      </c>
      <c r="I289" s="103" t="s">
        <v>600</v>
      </c>
      <c r="J289" s="103" t="s">
        <v>1683</v>
      </c>
      <c r="K289" s="56">
        <v>16</v>
      </c>
      <c r="L289" s="86">
        <v>50</v>
      </c>
      <c r="M289" s="56" t="s">
        <v>333</v>
      </c>
      <c r="N289" s="100" t="s">
        <v>539</v>
      </c>
      <c r="O289" s="54" t="s">
        <v>540</v>
      </c>
      <c r="P289" s="58" t="s">
        <v>39</v>
      </c>
      <c r="Q289" s="171" t="s">
        <v>1680</v>
      </c>
      <c r="R289" s="182">
        <v>0</v>
      </c>
      <c r="S289" s="178">
        <v>13</v>
      </c>
      <c r="T289" s="178">
        <v>15</v>
      </c>
      <c r="U289" s="183">
        <v>22</v>
      </c>
      <c r="V289" s="59"/>
      <c r="W289" s="60"/>
      <c r="X289" s="60"/>
      <c r="Y289" s="60"/>
      <c r="Z289" s="60"/>
      <c r="AA289" s="61"/>
      <c r="AB289" s="62">
        <v>60000000</v>
      </c>
      <c r="AC289" s="60"/>
      <c r="AD289" s="60"/>
      <c r="AE289" s="60"/>
      <c r="AF289" s="60"/>
      <c r="AG289" s="60"/>
      <c r="AH289" s="63"/>
      <c r="AI289" s="62">
        <v>73784743</v>
      </c>
      <c r="AJ289" s="60"/>
      <c r="AK289" s="60"/>
      <c r="AL289" s="60"/>
      <c r="AM289" s="60"/>
      <c r="AN289" s="60"/>
      <c r="AO289" s="63"/>
      <c r="AP289" s="62">
        <v>76736133</v>
      </c>
      <c r="AQ289" s="60"/>
      <c r="AR289" s="60"/>
      <c r="AS289" s="60"/>
      <c r="AT289" s="60">
        <v>555555556</v>
      </c>
      <c r="AU289" s="60"/>
      <c r="AV289" s="64"/>
      <c r="AW289" s="55">
        <f t="shared" si="22"/>
        <v>0</v>
      </c>
      <c r="AX289" s="55">
        <f t="shared" si="23"/>
        <v>60000000</v>
      </c>
      <c r="AY289" s="55">
        <f t="shared" si="24"/>
        <v>73784743</v>
      </c>
      <c r="AZ289" s="55">
        <f t="shared" si="25"/>
        <v>632291689</v>
      </c>
      <c r="BA289" s="55">
        <f t="shared" si="26"/>
        <v>766076432</v>
      </c>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row>
    <row r="290" spans="1:133" s="13" customFormat="1" ht="78.75" x14ac:dyDescent="0.25">
      <c r="A290" s="130" t="s">
        <v>533</v>
      </c>
      <c r="B290" s="132" t="s">
        <v>563</v>
      </c>
      <c r="C290" s="110" t="s">
        <v>585</v>
      </c>
      <c r="D290" s="110" t="s">
        <v>586</v>
      </c>
      <c r="E290" s="110">
        <v>94486</v>
      </c>
      <c r="F290" s="151">
        <f t="shared" si="27"/>
        <v>99210.3</v>
      </c>
      <c r="G290" s="104" t="s">
        <v>601</v>
      </c>
      <c r="H290" s="104" t="s">
        <v>1424</v>
      </c>
      <c r="I290" s="103" t="s">
        <v>602</v>
      </c>
      <c r="J290" s="103" t="s">
        <v>1682</v>
      </c>
      <c r="K290" s="178">
        <v>0</v>
      </c>
      <c r="L290" s="179">
        <v>100</v>
      </c>
      <c r="M290" s="56" t="s">
        <v>333</v>
      </c>
      <c r="N290" s="100" t="s">
        <v>539</v>
      </c>
      <c r="O290" s="54" t="s">
        <v>540</v>
      </c>
      <c r="P290" s="58" t="s">
        <v>39</v>
      </c>
      <c r="Q290" s="171" t="s">
        <v>1680</v>
      </c>
      <c r="R290" s="182">
        <v>30</v>
      </c>
      <c r="S290" s="178">
        <v>70</v>
      </c>
      <c r="T290" s="178">
        <v>0</v>
      </c>
      <c r="U290" s="183">
        <v>0</v>
      </c>
      <c r="V290" s="59">
        <v>39963000</v>
      </c>
      <c r="W290" s="60"/>
      <c r="X290" s="60"/>
      <c r="Y290" s="60"/>
      <c r="Z290" s="60"/>
      <c r="AA290" s="61"/>
      <c r="AB290" s="62">
        <v>1000000000</v>
      </c>
      <c r="AC290" s="60"/>
      <c r="AD290" s="60"/>
      <c r="AE290" s="60"/>
      <c r="AF290" s="60"/>
      <c r="AG290" s="60"/>
      <c r="AH290" s="63"/>
      <c r="AI290" s="62"/>
      <c r="AJ290" s="60"/>
      <c r="AK290" s="60"/>
      <c r="AL290" s="60"/>
      <c r="AM290" s="60"/>
      <c r="AN290" s="60"/>
      <c r="AO290" s="63"/>
      <c r="AP290" s="62"/>
      <c r="AQ290" s="60"/>
      <c r="AR290" s="60"/>
      <c r="AS290" s="60"/>
      <c r="AT290" s="60"/>
      <c r="AU290" s="60"/>
      <c r="AV290" s="64"/>
      <c r="AW290" s="55">
        <f t="shared" si="22"/>
        <v>39963000</v>
      </c>
      <c r="AX290" s="55">
        <f t="shared" si="23"/>
        <v>1000000000</v>
      </c>
      <c r="AY290" s="55">
        <f t="shared" si="24"/>
        <v>0</v>
      </c>
      <c r="AZ290" s="55">
        <f t="shared" si="25"/>
        <v>0</v>
      </c>
      <c r="BA290" s="55">
        <f t="shared" si="26"/>
        <v>1039963000</v>
      </c>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row>
    <row r="291" spans="1:133" s="13" customFormat="1" ht="94.5" x14ac:dyDescent="0.25">
      <c r="A291" s="130" t="s">
        <v>533</v>
      </c>
      <c r="B291" s="132" t="s">
        <v>603</v>
      </c>
      <c r="C291" s="118" t="s">
        <v>604</v>
      </c>
      <c r="D291" s="118" t="s">
        <v>605</v>
      </c>
      <c r="E291" s="118">
        <v>15</v>
      </c>
      <c r="F291" s="118" t="s">
        <v>606</v>
      </c>
      <c r="G291" s="137" t="s">
        <v>607</v>
      </c>
      <c r="H291" s="137" t="s">
        <v>1425</v>
      </c>
      <c r="I291" s="103" t="s">
        <v>608</v>
      </c>
      <c r="J291" s="103" t="s">
        <v>1683</v>
      </c>
      <c r="K291" s="56" t="s">
        <v>41</v>
      </c>
      <c r="L291" s="86">
        <v>6</v>
      </c>
      <c r="M291" s="56" t="s">
        <v>333</v>
      </c>
      <c r="N291" s="100" t="s">
        <v>539</v>
      </c>
      <c r="O291" s="54" t="s">
        <v>540</v>
      </c>
      <c r="P291" s="58" t="s">
        <v>39</v>
      </c>
      <c r="Q291" s="171" t="s">
        <v>1680</v>
      </c>
      <c r="R291" s="182">
        <v>0</v>
      </c>
      <c r="S291" s="178">
        <v>1</v>
      </c>
      <c r="T291" s="178">
        <v>2</v>
      </c>
      <c r="U291" s="183">
        <v>3</v>
      </c>
      <c r="V291" s="59"/>
      <c r="W291" s="60"/>
      <c r="X291" s="60"/>
      <c r="Y291" s="60"/>
      <c r="Z291" s="60"/>
      <c r="AA291" s="61"/>
      <c r="AB291" s="62">
        <v>1700000000</v>
      </c>
      <c r="AC291" s="60"/>
      <c r="AD291" s="60"/>
      <c r="AE291" s="60"/>
      <c r="AF291" s="60"/>
      <c r="AG291" s="60"/>
      <c r="AH291" s="63"/>
      <c r="AI291" s="62">
        <v>600000000</v>
      </c>
      <c r="AJ291" s="60"/>
      <c r="AK291" s="60"/>
      <c r="AL291" s="60"/>
      <c r="AM291" s="60"/>
      <c r="AN291" s="60"/>
      <c r="AO291" s="63"/>
      <c r="AP291" s="62">
        <v>300000000</v>
      </c>
      <c r="AQ291" s="60"/>
      <c r="AR291" s="60"/>
      <c r="AS291" s="60"/>
      <c r="AT291" s="60"/>
      <c r="AU291" s="60"/>
      <c r="AV291" s="64"/>
      <c r="AW291" s="55">
        <f t="shared" si="22"/>
        <v>0</v>
      </c>
      <c r="AX291" s="55">
        <f t="shared" si="23"/>
        <v>1700000000</v>
      </c>
      <c r="AY291" s="55">
        <f t="shared" si="24"/>
        <v>600000000</v>
      </c>
      <c r="AZ291" s="55">
        <f t="shared" si="25"/>
        <v>300000000</v>
      </c>
      <c r="BA291" s="55">
        <f t="shared" si="26"/>
        <v>2600000000</v>
      </c>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row>
    <row r="292" spans="1:133" s="13" customFormat="1" ht="63" x14ac:dyDescent="0.25">
      <c r="A292" s="130" t="s">
        <v>533</v>
      </c>
      <c r="B292" s="132" t="s">
        <v>603</v>
      </c>
      <c r="C292" s="118" t="s">
        <v>604</v>
      </c>
      <c r="D292" s="118" t="s">
        <v>605</v>
      </c>
      <c r="E292" s="118">
        <v>15</v>
      </c>
      <c r="F292" s="118" t="s">
        <v>606</v>
      </c>
      <c r="G292" s="137" t="s">
        <v>607</v>
      </c>
      <c r="H292" s="137" t="s">
        <v>1426</v>
      </c>
      <c r="I292" s="103" t="s">
        <v>609</v>
      </c>
      <c r="J292" s="103" t="s">
        <v>1683</v>
      </c>
      <c r="K292" s="56">
        <v>11</v>
      </c>
      <c r="L292" s="86">
        <v>100</v>
      </c>
      <c r="M292" s="56" t="s">
        <v>333</v>
      </c>
      <c r="N292" s="100" t="s">
        <v>539</v>
      </c>
      <c r="O292" s="54" t="s">
        <v>540</v>
      </c>
      <c r="P292" s="58" t="s">
        <v>39</v>
      </c>
      <c r="Q292" s="171" t="s">
        <v>1680</v>
      </c>
      <c r="R292" s="182">
        <v>10</v>
      </c>
      <c r="S292" s="178">
        <v>0</v>
      </c>
      <c r="T292" s="178">
        <v>50</v>
      </c>
      <c r="U292" s="183">
        <v>40</v>
      </c>
      <c r="V292" s="59">
        <v>28963000</v>
      </c>
      <c r="W292" s="60"/>
      <c r="X292" s="60"/>
      <c r="Y292" s="60"/>
      <c r="Z292" s="60"/>
      <c r="AA292" s="61"/>
      <c r="AB292" s="62">
        <v>1700000000</v>
      </c>
      <c r="AC292" s="60"/>
      <c r="AD292" s="60"/>
      <c r="AE292" s="60"/>
      <c r="AF292" s="60"/>
      <c r="AG292" s="60"/>
      <c r="AH292" s="63"/>
      <c r="AI292" s="62">
        <v>600000000</v>
      </c>
      <c r="AJ292" s="60"/>
      <c r="AK292" s="60"/>
      <c r="AL292" s="60"/>
      <c r="AM292" s="60"/>
      <c r="AN292" s="60"/>
      <c r="AO292" s="63"/>
      <c r="AP292" s="62">
        <v>300000000</v>
      </c>
      <c r="AQ292" s="60"/>
      <c r="AR292" s="60"/>
      <c r="AS292" s="60"/>
      <c r="AT292" s="60"/>
      <c r="AU292" s="60"/>
      <c r="AV292" s="64"/>
      <c r="AW292" s="55">
        <f t="shared" si="22"/>
        <v>28963000</v>
      </c>
      <c r="AX292" s="55">
        <f t="shared" si="23"/>
        <v>1700000000</v>
      </c>
      <c r="AY292" s="55">
        <f t="shared" si="24"/>
        <v>600000000</v>
      </c>
      <c r="AZ292" s="55">
        <f t="shared" si="25"/>
        <v>300000000</v>
      </c>
      <c r="BA292" s="55">
        <f t="shared" si="26"/>
        <v>2628963000</v>
      </c>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row>
    <row r="293" spans="1:133" s="13" customFormat="1" ht="63" x14ac:dyDescent="0.25">
      <c r="A293" s="130" t="s">
        <v>533</v>
      </c>
      <c r="B293" s="132" t="s">
        <v>603</v>
      </c>
      <c r="C293" s="118" t="s">
        <v>604</v>
      </c>
      <c r="D293" s="118" t="s">
        <v>605</v>
      </c>
      <c r="E293" s="118">
        <v>15</v>
      </c>
      <c r="F293" s="118" t="s">
        <v>606</v>
      </c>
      <c r="G293" s="137" t="s">
        <v>607</v>
      </c>
      <c r="H293" s="137" t="s">
        <v>1427</v>
      </c>
      <c r="I293" s="103" t="s">
        <v>610</v>
      </c>
      <c r="J293" s="103" t="s">
        <v>1683</v>
      </c>
      <c r="K293" s="56">
        <v>0</v>
      </c>
      <c r="L293" s="86">
        <v>1</v>
      </c>
      <c r="M293" s="56" t="s">
        <v>333</v>
      </c>
      <c r="N293" s="100" t="s">
        <v>539</v>
      </c>
      <c r="O293" s="54" t="s">
        <v>540</v>
      </c>
      <c r="P293" s="58" t="s">
        <v>39</v>
      </c>
      <c r="Q293" s="171" t="s">
        <v>1680</v>
      </c>
      <c r="R293" s="182">
        <v>0</v>
      </c>
      <c r="S293" s="178">
        <v>0</v>
      </c>
      <c r="T293" s="178">
        <v>0</v>
      </c>
      <c r="U293" s="183">
        <v>1</v>
      </c>
      <c r="V293" s="59"/>
      <c r="W293" s="60"/>
      <c r="X293" s="60"/>
      <c r="Y293" s="60"/>
      <c r="Z293" s="60"/>
      <c r="AA293" s="61"/>
      <c r="AB293" s="62"/>
      <c r="AC293" s="60"/>
      <c r="AD293" s="60"/>
      <c r="AE293" s="60"/>
      <c r="AF293" s="60"/>
      <c r="AG293" s="60"/>
      <c r="AH293" s="63"/>
      <c r="AI293" s="62"/>
      <c r="AJ293" s="60"/>
      <c r="AK293" s="60"/>
      <c r="AL293" s="60"/>
      <c r="AM293" s="60"/>
      <c r="AN293" s="60"/>
      <c r="AO293" s="63"/>
      <c r="AP293" s="62">
        <v>300000000</v>
      </c>
      <c r="AQ293" s="60"/>
      <c r="AR293" s="60"/>
      <c r="AS293" s="60"/>
      <c r="AT293" s="60"/>
      <c r="AU293" s="60"/>
      <c r="AV293" s="64"/>
      <c r="AW293" s="55">
        <f t="shared" si="22"/>
        <v>0</v>
      </c>
      <c r="AX293" s="55">
        <f t="shared" si="23"/>
        <v>0</v>
      </c>
      <c r="AY293" s="55">
        <f t="shared" si="24"/>
        <v>0</v>
      </c>
      <c r="AZ293" s="55">
        <f t="shared" si="25"/>
        <v>300000000</v>
      </c>
      <c r="BA293" s="55">
        <f t="shared" si="26"/>
        <v>300000000</v>
      </c>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row>
    <row r="294" spans="1:133" s="13" customFormat="1" ht="63" x14ac:dyDescent="0.25">
      <c r="A294" s="130" t="s">
        <v>533</v>
      </c>
      <c r="B294" s="132" t="s">
        <v>603</v>
      </c>
      <c r="C294" s="118" t="s">
        <v>604</v>
      </c>
      <c r="D294" s="118" t="s">
        <v>605</v>
      </c>
      <c r="E294" s="118">
        <v>15</v>
      </c>
      <c r="F294" s="118" t="s">
        <v>606</v>
      </c>
      <c r="G294" s="137" t="s">
        <v>607</v>
      </c>
      <c r="H294" s="137" t="s">
        <v>1428</v>
      </c>
      <c r="I294" s="103" t="s">
        <v>611</v>
      </c>
      <c r="J294" s="103" t="s">
        <v>1683</v>
      </c>
      <c r="K294" s="56">
        <v>0</v>
      </c>
      <c r="L294" s="86">
        <v>1</v>
      </c>
      <c r="M294" s="56" t="s">
        <v>333</v>
      </c>
      <c r="N294" s="100" t="s">
        <v>539</v>
      </c>
      <c r="O294" s="54" t="s">
        <v>540</v>
      </c>
      <c r="P294" s="58" t="s">
        <v>39</v>
      </c>
      <c r="Q294" s="171" t="s">
        <v>1680</v>
      </c>
      <c r="R294" s="182">
        <v>0</v>
      </c>
      <c r="S294" s="178">
        <v>0</v>
      </c>
      <c r="T294" s="178">
        <v>0</v>
      </c>
      <c r="U294" s="183">
        <v>1</v>
      </c>
      <c r="V294" s="59"/>
      <c r="W294" s="60"/>
      <c r="X294" s="60"/>
      <c r="Y294" s="60"/>
      <c r="Z294" s="60"/>
      <c r="AA294" s="61"/>
      <c r="AB294" s="62"/>
      <c r="AC294" s="60"/>
      <c r="AD294" s="60"/>
      <c r="AE294" s="60"/>
      <c r="AF294" s="60"/>
      <c r="AG294" s="60"/>
      <c r="AH294" s="63"/>
      <c r="AI294" s="62"/>
      <c r="AJ294" s="60"/>
      <c r="AK294" s="60"/>
      <c r="AL294" s="60"/>
      <c r="AM294" s="60"/>
      <c r="AN294" s="60"/>
      <c r="AO294" s="63"/>
      <c r="AP294" s="62">
        <v>300000000</v>
      </c>
      <c r="AQ294" s="60"/>
      <c r="AR294" s="60"/>
      <c r="AS294" s="60"/>
      <c r="AT294" s="60"/>
      <c r="AU294" s="60"/>
      <c r="AV294" s="64"/>
      <c r="AW294" s="55">
        <f t="shared" si="22"/>
        <v>0</v>
      </c>
      <c r="AX294" s="55">
        <f t="shared" si="23"/>
        <v>0</v>
      </c>
      <c r="AY294" s="55">
        <f t="shared" si="24"/>
        <v>0</v>
      </c>
      <c r="AZ294" s="55">
        <f t="shared" si="25"/>
        <v>300000000</v>
      </c>
      <c r="BA294" s="55">
        <f t="shared" si="26"/>
        <v>300000000</v>
      </c>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c r="CF294" s="32"/>
      <c r="CG294" s="32"/>
      <c r="CH294" s="32"/>
      <c r="CI294" s="32"/>
      <c r="CJ294" s="32"/>
      <c r="CK294" s="32"/>
      <c r="CL294" s="32"/>
      <c r="CM294" s="32"/>
      <c r="CN294" s="32"/>
      <c r="CO294" s="32"/>
      <c r="CP294" s="32"/>
      <c r="CQ294" s="32"/>
      <c r="CR294" s="32"/>
      <c r="CS294" s="32"/>
      <c r="CT294" s="32"/>
      <c r="CU294" s="32"/>
      <c r="CV294" s="32"/>
      <c r="CW294" s="32"/>
      <c r="CX294" s="32"/>
      <c r="CY294" s="32"/>
      <c r="CZ294" s="32"/>
      <c r="DA294" s="32"/>
      <c r="DB294" s="32"/>
      <c r="DC294" s="32"/>
      <c r="DD294" s="32"/>
      <c r="DE294" s="32"/>
      <c r="DF294" s="32"/>
      <c r="DG294" s="32"/>
      <c r="DH294" s="32"/>
      <c r="DI294" s="32"/>
      <c r="DJ294" s="32"/>
      <c r="DK294" s="32"/>
      <c r="DL294" s="32"/>
      <c r="DM294" s="32"/>
      <c r="DN294" s="32"/>
      <c r="DO294" s="32"/>
      <c r="DP294" s="32"/>
      <c r="DQ294" s="32"/>
      <c r="DR294" s="32"/>
      <c r="DS294" s="32"/>
      <c r="DT294" s="32"/>
      <c r="DU294" s="32"/>
      <c r="DV294" s="32"/>
      <c r="DW294" s="32"/>
      <c r="DX294" s="32"/>
      <c r="DY294" s="32"/>
      <c r="DZ294" s="32"/>
      <c r="EA294" s="32"/>
      <c r="EB294" s="32"/>
      <c r="EC294" s="32"/>
    </row>
    <row r="295" spans="1:133" s="13" customFormat="1" ht="63" x14ac:dyDescent="0.25">
      <c r="A295" s="130" t="s">
        <v>533</v>
      </c>
      <c r="B295" s="132" t="s">
        <v>603</v>
      </c>
      <c r="C295" s="118" t="s">
        <v>604</v>
      </c>
      <c r="D295" s="118" t="s">
        <v>605</v>
      </c>
      <c r="E295" s="118">
        <v>15</v>
      </c>
      <c r="F295" s="118" t="s">
        <v>606</v>
      </c>
      <c r="G295" s="104" t="s">
        <v>613</v>
      </c>
      <c r="H295" s="104" t="s">
        <v>1429</v>
      </c>
      <c r="I295" s="103" t="s">
        <v>614</v>
      </c>
      <c r="J295" s="103" t="s">
        <v>1683</v>
      </c>
      <c r="K295" s="56" t="s">
        <v>90</v>
      </c>
      <c r="L295" s="86">
        <v>100</v>
      </c>
      <c r="M295" s="56" t="s">
        <v>333</v>
      </c>
      <c r="N295" s="100" t="s">
        <v>539</v>
      </c>
      <c r="O295" s="54" t="s">
        <v>540</v>
      </c>
      <c r="P295" s="58" t="s">
        <v>39</v>
      </c>
      <c r="Q295" s="171" t="s">
        <v>1680</v>
      </c>
      <c r="R295" s="182">
        <v>0</v>
      </c>
      <c r="S295" s="178">
        <v>20</v>
      </c>
      <c r="T295" s="178">
        <v>40</v>
      </c>
      <c r="U295" s="183">
        <v>40</v>
      </c>
      <c r="V295" s="59"/>
      <c r="W295" s="60"/>
      <c r="X295" s="60"/>
      <c r="Y295" s="60"/>
      <c r="Z295" s="60"/>
      <c r="AA295" s="61"/>
      <c r="AB295" s="62">
        <v>1550000000</v>
      </c>
      <c r="AC295" s="60"/>
      <c r="AD295" s="60"/>
      <c r="AE295" s="60"/>
      <c r="AF295" s="60"/>
      <c r="AG295" s="60"/>
      <c r="AH295" s="63"/>
      <c r="AI295" s="62">
        <v>800000000</v>
      </c>
      <c r="AJ295" s="60"/>
      <c r="AK295" s="60"/>
      <c r="AL295" s="60"/>
      <c r="AM295" s="60"/>
      <c r="AN295" s="60"/>
      <c r="AO295" s="63"/>
      <c r="AP295" s="62">
        <v>800000000</v>
      </c>
      <c r="AQ295" s="60"/>
      <c r="AR295" s="60"/>
      <c r="AS295" s="60"/>
      <c r="AT295" s="60"/>
      <c r="AU295" s="60"/>
      <c r="AV295" s="64"/>
      <c r="AW295" s="55">
        <f t="shared" si="22"/>
        <v>0</v>
      </c>
      <c r="AX295" s="55">
        <f t="shared" si="23"/>
        <v>1550000000</v>
      </c>
      <c r="AY295" s="55">
        <f t="shared" si="24"/>
        <v>800000000</v>
      </c>
      <c r="AZ295" s="55">
        <f t="shared" si="25"/>
        <v>800000000</v>
      </c>
      <c r="BA295" s="55">
        <f t="shared" si="26"/>
        <v>3150000000</v>
      </c>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row>
    <row r="296" spans="1:133" s="13" customFormat="1" ht="78.75" x14ac:dyDescent="0.25">
      <c r="A296" s="130" t="s">
        <v>533</v>
      </c>
      <c r="B296" s="132" t="s">
        <v>603</v>
      </c>
      <c r="C296" s="118" t="s">
        <v>604</v>
      </c>
      <c r="D296" s="118" t="s">
        <v>605</v>
      </c>
      <c r="E296" s="118">
        <v>15</v>
      </c>
      <c r="F296" s="118" t="s">
        <v>606</v>
      </c>
      <c r="G296" s="122" t="s">
        <v>615</v>
      </c>
      <c r="H296" s="122" t="s">
        <v>1430</v>
      </c>
      <c r="I296" s="103" t="s">
        <v>616</v>
      </c>
      <c r="J296" s="103" t="s">
        <v>1682</v>
      </c>
      <c r="K296" s="56" t="s">
        <v>90</v>
      </c>
      <c r="L296" s="179">
        <v>100</v>
      </c>
      <c r="M296" s="56" t="s">
        <v>333</v>
      </c>
      <c r="N296" s="100" t="s">
        <v>539</v>
      </c>
      <c r="O296" s="54" t="s">
        <v>540</v>
      </c>
      <c r="P296" s="58" t="s">
        <v>39</v>
      </c>
      <c r="Q296" s="171" t="s">
        <v>1680</v>
      </c>
      <c r="R296" s="182">
        <v>0</v>
      </c>
      <c r="S296" s="178">
        <v>0</v>
      </c>
      <c r="T296" s="178">
        <v>60</v>
      </c>
      <c r="U296" s="183">
        <v>40</v>
      </c>
      <c r="V296" s="59"/>
      <c r="W296" s="60"/>
      <c r="X296" s="60"/>
      <c r="Y296" s="60"/>
      <c r="Z296" s="60"/>
      <c r="AA296" s="61"/>
      <c r="AB296" s="62">
        <v>400000000</v>
      </c>
      <c r="AC296" s="60"/>
      <c r="AD296" s="60"/>
      <c r="AE296" s="60"/>
      <c r="AF296" s="60"/>
      <c r="AG296" s="60"/>
      <c r="AH296" s="63"/>
      <c r="AI296" s="62">
        <f>200000000/3</f>
        <v>66666666.666666664</v>
      </c>
      <c r="AJ296" s="60"/>
      <c r="AK296" s="60"/>
      <c r="AL296" s="60"/>
      <c r="AM296" s="60"/>
      <c r="AN296" s="60"/>
      <c r="AO296" s="63"/>
      <c r="AP296" s="62">
        <v>100000000</v>
      </c>
      <c r="AQ296" s="60"/>
      <c r="AR296" s="60"/>
      <c r="AS296" s="60"/>
      <c r="AT296" s="60"/>
      <c r="AU296" s="60"/>
      <c r="AV296" s="64"/>
      <c r="AW296" s="55">
        <f t="shared" si="22"/>
        <v>0</v>
      </c>
      <c r="AX296" s="55">
        <f t="shared" si="23"/>
        <v>400000000</v>
      </c>
      <c r="AY296" s="55">
        <f t="shared" si="24"/>
        <v>66666666.666666664</v>
      </c>
      <c r="AZ296" s="55">
        <f t="shared" si="25"/>
        <v>100000000</v>
      </c>
      <c r="BA296" s="55">
        <f t="shared" si="26"/>
        <v>566666666.66666675</v>
      </c>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row>
    <row r="297" spans="1:133" s="13" customFormat="1" ht="63" x14ac:dyDescent="0.25">
      <c r="A297" s="130" t="s">
        <v>533</v>
      </c>
      <c r="B297" s="132" t="s">
        <v>603</v>
      </c>
      <c r="C297" s="118" t="s">
        <v>604</v>
      </c>
      <c r="D297" s="118" t="s">
        <v>605</v>
      </c>
      <c r="E297" s="118">
        <v>15</v>
      </c>
      <c r="F297" s="118" t="s">
        <v>606</v>
      </c>
      <c r="G297" s="122" t="s">
        <v>615</v>
      </c>
      <c r="H297" s="122" t="s">
        <v>1431</v>
      </c>
      <c r="I297" s="103" t="s">
        <v>617</v>
      </c>
      <c r="J297" s="103" t="s">
        <v>1682</v>
      </c>
      <c r="K297" s="56" t="s">
        <v>90</v>
      </c>
      <c r="L297" s="179">
        <v>100</v>
      </c>
      <c r="M297" s="56" t="s">
        <v>333</v>
      </c>
      <c r="N297" s="100" t="s">
        <v>539</v>
      </c>
      <c r="O297" s="54" t="s">
        <v>540</v>
      </c>
      <c r="P297" s="58" t="s">
        <v>39</v>
      </c>
      <c r="Q297" s="171" t="s">
        <v>1680</v>
      </c>
      <c r="R297" s="182">
        <v>0</v>
      </c>
      <c r="S297" s="178">
        <v>20</v>
      </c>
      <c r="T297" s="178">
        <v>35</v>
      </c>
      <c r="U297" s="183">
        <v>45</v>
      </c>
      <c r="V297" s="59"/>
      <c r="W297" s="60"/>
      <c r="X297" s="60"/>
      <c r="Y297" s="60"/>
      <c r="Z297" s="60"/>
      <c r="AA297" s="61"/>
      <c r="AB297" s="62">
        <v>400000000</v>
      </c>
      <c r="AC297" s="60"/>
      <c r="AD297" s="60"/>
      <c r="AE297" s="60"/>
      <c r="AF297" s="60"/>
      <c r="AG297" s="60"/>
      <c r="AH297" s="63"/>
      <c r="AI297" s="62">
        <v>66666666.666666664</v>
      </c>
      <c r="AJ297" s="60"/>
      <c r="AK297" s="60"/>
      <c r="AL297" s="60"/>
      <c r="AM297" s="60"/>
      <c r="AN297" s="60"/>
      <c r="AO297" s="63"/>
      <c r="AP297" s="62">
        <v>100000000</v>
      </c>
      <c r="AQ297" s="60"/>
      <c r="AR297" s="60"/>
      <c r="AS297" s="60"/>
      <c r="AT297" s="60"/>
      <c r="AU297" s="60"/>
      <c r="AV297" s="64"/>
      <c r="AW297" s="55">
        <f t="shared" si="22"/>
        <v>0</v>
      </c>
      <c r="AX297" s="55">
        <f t="shared" si="23"/>
        <v>400000000</v>
      </c>
      <c r="AY297" s="55">
        <f t="shared" si="24"/>
        <v>66666666.666666664</v>
      </c>
      <c r="AZ297" s="55">
        <f t="shared" si="25"/>
        <v>100000000</v>
      </c>
      <c r="BA297" s="55">
        <f t="shared" si="26"/>
        <v>566666666.66666675</v>
      </c>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c r="CP297" s="4"/>
      <c r="CQ297" s="4"/>
      <c r="CR297" s="4"/>
      <c r="CS297" s="4"/>
      <c r="CT297" s="4"/>
      <c r="CU297" s="4"/>
      <c r="CV297" s="4"/>
      <c r="CW297" s="4"/>
      <c r="CX297" s="4"/>
      <c r="CY297" s="4"/>
      <c r="CZ297" s="4"/>
      <c r="DA297" s="4"/>
      <c r="DB297" s="4"/>
      <c r="DC297" s="4"/>
      <c r="DD297" s="4"/>
      <c r="DE297" s="4"/>
      <c r="DF297" s="4"/>
      <c r="DG297" s="4"/>
      <c r="DH297" s="4"/>
      <c r="DI297" s="4"/>
      <c r="DJ297" s="4"/>
      <c r="DK297" s="4"/>
      <c r="DL297" s="4"/>
      <c r="DM297" s="4"/>
      <c r="DN297" s="4"/>
      <c r="DO297" s="4"/>
      <c r="DP297" s="4"/>
      <c r="DQ297" s="4"/>
      <c r="DR297" s="4"/>
      <c r="DS297" s="4"/>
      <c r="DT297" s="4"/>
      <c r="DU297" s="4"/>
      <c r="DV297" s="4"/>
      <c r="DW297" s="4"/>
      <c r="DX297" s="4"/>
      <c r="DY297" s="4"/>
      <c r="DZ297" s="4"/>
      <c r="EA297" s="4"/>
      <c r="EB297" s="4"/>
      <c r="EC297" s="4"/>
    </row>
    <row r="298" spans="1:133" s="13" customFormat="1" ht="63" x14ac:dyDescent="0.25">
      <c r="A298" s="130" t="s">
        <v>533</v>
      </c>
      <c r="B298" s="132" t="s">
        <v>603</v>
      </c>
      <c r="C298" s="118" t="s">
        <v>604</v>
      </c>
      <c r="D298" s="118" t="s">
        <v>605</v>
      </c>
      <c r="E298" s="118">
        <v>15</v>
      </c>
      <c r="F298" s="118" t="s">
        <v>606</v>
      </c>
      <c r="G298" s="122" t="s">
        <v>615</v>
      </c>
      <c r="H298" s="122" t="s">
        <v>1432</v>
      </c>
      <c r="I298" s="103" t="s">
        <v>618</v>
      </c>
      <c r="J298" s="103" t="s">
        <v>1683</v>
      </c>
      <c r="K298" s="56" t="s">
        <v>90</v>
      </c>
      <c r="L298" s="86">
        <v>1</v>
      </c>
      <c r="M298" s="56" t="s">
        <v>333</v>
      </c>
      <c r="N298" s="100" t="s">
        <v>539</v>
      </c>
      <c r="O298" s="54" t="s">
        <v>540</v>
      </c>
      <c r="P298" s="58" t="s">
        <v>39</v>
      </c>
      <c r="Q298" s="171" t="s">
        <v>1680</v>
      </c>
      <c r="R298" s="182">
        <v>0</v>
      </c>
      <c r="S298" s="178">
        <v>0</v>
      </c>
      <c r="T298" s="178">
        <v>1</v>
      </c>
      <c r="U298" s="183">
        <v>0</v>
      </c>
      <c r="V298" s="59"/>
      <c r="W298" s="60"/>
      <c r="X298" s="60"/>
      <c r="Y298" s="60"/>
      <c r="Z298" s="60"/>
      <c r="AA298" s="61"/>
      <c r="AB298" s="62"/>
      <c r="AC298" s="60"/>
      <c r="AD298" s="60"/>
      <c r="AE298" s="60"/>
      <c r="AF298" s="60"/>
      <c r="AG298" s="60"/>
      <c r="AH298" s="63"/>
      <c r="AI298" s="62">
        <f>200000000/3</f>
        <v>66666666.666666664</v>
      </c>
      <c r="AJ298" s="60"/>
      <c r="AK298" s="60"/>
      <c r="AL298" s="60"/>
      <c r="AM298" s="60"/>
      <c r="AN298" s="60"/>
      <c r="AO298" s="63"/>
      <c r="AP298" s="62"/>
      <c r="AQ298" s="60"/>
      <c r="AR298" s="60"/>
      <c r="AS298" s="60"/>
      <c r="AT298" s="60"/>
      <c r="AU298" s="60"/>
      <c r="AV298" s="64"/>
      <c r="AW298" s="55">
        <f t="shared" si="22"/>
        <v>0</v>
      </c>
      <c r="AX298" s="55">
        <f t="shared" si="23"/>
        <v>0</v>
      </c>
      <c r="AY298" s="55">
        <f t="shared" si="24"/>
        <v>66666666.666666664</v>
      </c>
      <c r="AZ298" s="55">
        <f t="shared" si="25"/>
        <v>0</v>
      </c>
      <c r="BA298" s="55">
        <f t="shared" si="26"/>
        <v>66666666.666666664</v>
      </c>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c r="BY298" s="32"/>
      <c r="BZ298" s="32"/>
      <c r="CA298" s="32"/>
      <c r="CB298" s="32"/>
      <c r="CC298" s="32"/>
      <c r="CD298" s="32"/>
      <c r="CE298" s="32"/>
      <c r="CF298" s="32"/>
      <c r="CG298" s="32"/>
      <c r="CH298" s="32"/>
      <c r="CI298" s="32"/>
      <c r="CJ298" s="32"/>
      <c r="CK298" s="32"/>
      <c r="CL298" s="32"/>
      <c r="CM298" s="32"/>
      <c r="CN298" s="32"/>
      <c r="CO298" s="32"/>
      <c r="CP298" s="32"/>
      <c r="CQ298" s="32"/>
      <c r="CR298" s="32"/>
      <c r="CS298" s="32"/>
      <c r="CT298" s="32"/>
      <c r="CU298" s="32"/>
      <c r="CV298" s="32"/>
      <c r="CW298" s="32"/>
      <c r="CX298" s="32"/>
      <c r="CY298" s="32"/>
      <c r="CZ298" s="32"/>
      <c r="DA298" s="32"/>
      <c r="DB298" s="32"/>
      <c r="DC298" s="32"/>
      <c r="DD298" s="32"/>
      <c r="DE298" s="32"/>
      <c r="DF298" s="32"/>
      <c r="DG298" s="32"/>
      <c r="DH298" s="32"/>
      <c r="DI298" s="32"/>
      <c r="DJ298" s="32"/>
      <c r="DK298" s="32"/>
      <c r="DL298" s="32"/>
      <c r="DM298" s="32"/>
      <c r="DN298" s="32"/>
      <c r="DO298" s="32"/>
      <c r="DP298" s="32"/>
      <c r="DQ298" s="32"/>
      <c r="DR298" s="32"/>
      <c r="DS298" s="32"/>
      <c r="DT298" s="32"/>
      <c r="DU298" s="32"/>
      <c r="DV298" s="32"/>
      <c r="DW298" s="32"/>
      <c r="DX298" s="32"/>
      <c r="DY298" s="32"/>
      <c r="DZ298" s="32"/>
      <c r="EA298" s="32"/>
      <c r="EB298" s="32"/>
      <c r="EC298" s="32"/>
    </row>
    <row r="299" spans="1:133" s="13" customFormat="1" ht="94.5" x14ac:dyDescent="0.25">
      <c r="A299" s="130" t="s">
        <v>533</v>
      </c>
      <c r="B299" s="132" t="s">
        <v>603</v>
      </c>
      <c r="C299" s="118" t="s">
        <v>619</v>
      </c>
      <c r="D299" s="118" t="s">
        <v>620</v>
      </c>
      <c r="E299" s="118">
        <v>3.46</v>
      </c>
      <c r="F299" s="118">
        <v>3.7</v>
      </c>
      <c r="G299" s="104" t="s">
        <v>621</v>
      </c>
      <c r="H299" s="104" t="s">
        <v>1433</v>
      </c>
      <c r="I299" s="103" t="s">
        <v>622</v>
      </c>
      <c r="J299" s="103" t="s">
        <v>1682</v>
      </c>
      <c r="K299" s="56" t="s">
        <v>90</v>
      </c>
      <c r="L299" s="179">
        <v>100</v>
      </c>
      <c r="M299" s="56" t="s">
        <v>333</v>
      </c>
      <c r="N299" s="100" t="s">
        <v>164</v>
      </c>
      <c r="O299" s="54" t="s">
        <v>540</v>
      </c>
      <c r="P299" s="58" t="s">
        <v>39</v>
      </c>
      <c r="Q299" s="171" t="s">
        <v>1680</v>
      </c>
      <c r="R299" s="182">
        <v>0</v>
      </c>
      <c r="S299" s="178">
        <v>0</v>
      </c>
      <c r="T299" s="178">
        <v>50</v>
      </c>
      <c r="U299" s="183">
        <v>50</v>
      </c>
      <c r="V299" s="59"/>
      <c r="W299" s="60"/>
      <c r="X299" s="60"/>
      <c r="Y299" s="60"/>
      <c r="Z299" s="60"/>
      <c r="AA299" s="61"/>
      <c r="AB299" s="62">
        <v>200000000</v>
      </c>
      <c r="AC299" s="60"/>
      <c r="AD299" s="60"/>
      <c r="AE299" s="60"/>
      <c r="AF299" s="60"/>
      <c r="AG299" s="60"/>
      <c r="AH299" s="63"/>
      <c r="AI299" s="62">
        <v>500000000</v>
      </c>
      <c r="AJ299" s="60"/>
      <c r="AK299" s="60"/>
      <c r="AL299" s="60"/>
      <c r="AM299" s="60"/>
      <c r="AN299" s="60"/>
      <c r="AO299" s="63"/>
      <c r="AP299" s="62">
        <v>500000000</v>
      </c>
      <c r="AQ299" s="60"/>
      <c r="AR299" s="60"/>
      <c r="AS299" s="60"/>
      <c r="AT299" s="60"/>
      <c r="AU299" s="60"/>
      <c r="AV299" s="64"/>
      <c r="AW299" s="55">
        <f t="shared" si="22"/>
        <v>0</v>
      </c>
      <c r="AX299" s="55">
        <f t="shared" si="23"/>
        <v>200000000</v>
      </c>
      <c r="AY299" s="55">
        <f t="shared" si="24"/>
        <v>500000000</v>
      </c>
      <c r="AZ299" s="55">
        <f t="shared" si="25"/>
        <v>500000000</v>
      </c>
      <c r="BA299" s="55">
        <f t="shared" si="26"/>
        <v>1200000000</v>
      </c>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c r="CP299" s="4"/>
      <c r="CQ299" s="4"/>
      <c r="CR299" s="4"/>
      <c r="CS299" s="4"/>
      <c r="CT299" s="4"/>
      <c r="CU299" s="4"/>
      <c r="CV299" s="4"/>
      <c r="CW299" s="4"/>
      <c r="CX299" s="4"/>
      <c r="CY299" s="4"/>
      <c r="CZ299" s="4"/>
      <c r="DA299" s="4"/>
      <c r="DB299" s="4"/>
      <c r="DC299" s="4"/>
      <c r="DD299" s="4"/>
      <c r="DE299" s="4"/>
      <c r="DF299" s="4"/>
      <c r="DG299" s="4"/>
      <c r="DH299" s="4"/>
      <c r="DI299" s="4"/>
      <c r="DJ299" s="4"/>
      <c r="DK299" s="4"/>
      <c r="DL299" s="4"/>
      <c r="DM299" s="4"/>
      <c r="DN299" s="4"/>
      <c r="DO299" s="4"/>
      <c r="DP299" s="4"/>
      <c r="DQ299" s="4"/>
      <c r="DR299" s="4"/>
      <c r="DS299" s="4"/>
      <c r="DT299" s="4"/>
      <c r="DU299" s="4"/>
      <c r="DV299" s="4"/>
      <c r="DW299" s="4"/>
      <c r="DX299" s="4"/>
      <c r="DY299" s="4"/>
      <c r="DZ299" s="4"/>
      <c r="EA299" s="4"/>
      <c r="EB299" s="4"/>
      <c r="EC299" s="4"/>
    </row>
    <row r="300" spans="1:133" s="13" customFormat="1" ht="94.5" x14ac:dyDescent="0.25">
      <c r="A300" s="130" t="s">
        <v>533</v>
      </c>
      <c r="B300" s="132" t="s">
        <v>603</v>
      </c>
      <c r="C300" s="118" t="s">
        <v>619</v>
      </c>
      <c r="D300" s="118" t="s">
        <v>620</v>
      </c>
      <c r="E300" s="118">
        <v>3.46</v>
      </c>
      <c r="F300" s="118">
        <v>3.7</v>
      </c>
      <c r="G300" s="104" t="s">
        <v>623</v>
      </c>
      <c r="H300" s="104" t="s">
        <v>1434</v>
      </c>
      <c r="I300" s="103" t="s">
        <v>624</v>
      </c>
      <c r="J300" s="103" t="s">
        <v>1682</v>
      </c>
      <c r="K300" s="56" t="s">
        <v>41</v>
      </c>
      <c r="L300" s="179">
        <v>100</v>
      </c>
      <c r="M300" s="56" t="s">
        <v>333</v>
      </c>
      <c r="N300" s="100" t="s">
        <v>164</v>
      </c>
      <c r="O300" s="54" t="s">
        <v>540</v>
      </c>
      <c r="P300" s="58" t="s">
        <v>39</v>
      </c>
      <c r="Q300" s="171" t="s">
        <v>1680</v>
      </c>
      <c r="R300" s="182">
        <v>0</v>
      </c>
      <c r="S300" s="178">
        <v>0</v>
      </c>
      <c r="T300" s="178">
        <v>60</v>
      </c>
      <c r="U300" s="183">
        <v>40</v>
      </c>
      <c r="V300" s="59"/>
      <c r="W300" s="60"/>
      <c r="X300" s="60"/>
      <c r="Y300" s="60"/>
      <c r="Z300" s="60"/>
      <c r="AA300" s="61"/>
      <c r="AB300" s="62">
        <v>80000000</v>
      </c>
      <c r="AC300" s="60"/>
      <c r="AD300" s="60"/>
      <c r="AE300" s="60"/>
      <c r="AF300" s="60"/>
      <c r="AG300" s="60"/>
      <c r="AH300" s="63"/>
      <c r="AI300" s="62">
        <v>500000000</v>
      </c>
      <c r="AJ300" s="60"/>
      <c r="AK300" s="60"/>
      <c r="AL300" s="60"/>
      <c r="AM300" s="60"/>
      <c r="AN300" s="60"/>
      <c r="AO300" s="63"/>
      <c r="AP300" s="62">
        <v>500000000</v>
      </c>
      <c r="AQ300" s="60"/>
      <c r="AR300" s="60"/>
      <c r="AS300" s="60"/>
      <c r="AT300" s="60"/>
      <c r="AU300" s="60"/>
      <c r="AV300" s="64"/>
      <c r="AW300" s="55">
        <f t="shared" si="22"/>
        <v>0</v>
      </c>
      <c r="AX300" s="55">
        <f t="shared" si="23"/>
        <v>80000000</v>
      </c>
      <c r="AY300" s="55">
        <f t="shared" si="24"/>
        <v>500000000</v>
      </c>
      <c r="AZ300" s="55">
        <f t="shared" si="25"/>
        <v>500000000</v>
      </c>
      <c r="BA300" s="55">
        <f t="shared" si="26"/>
        <v>1080000000</v>
      </c>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c r="CP300" s="4"/>
      <c r="CQ300" s="4"/>
      <c r="CR300" s="4"/>
      <c r="CS300" s="4"/>
      <c r="CT300" s="4"/>
      <c r="CU300" s="4"/>
      <c r="CV300" s="4"/>
      <c r="CW300" s="4"/>
      <c r="CX300" s="4"/>
      <c r="CY300" s="4"/>
      <c r="CZ300" s="4"/>
      <c r="DA300" s="4"/>
      <c r="DB300" s="4"/>
      <c r="DC300" s="4"/>
      <c r="DD300" s="4"/>
      <c r="DE300" s="4"/>
      <c r="DF300" s="4"/>
      <c r="DG300" s="4"/>
      <c r="DH300" s="4"/>
      <c r="DI300" s="4"/>
      <c r="DJ300" s="4"/>
      <c r="DK300" s="4"/>
      <c r="DL300" s="4"/>
      <c r="DM300" s="4"/>
      <c r="DN300" s="4"/>
      <c r="DO300" s="4"/>
      <c r="DP300" s="4"/>
      <c r="DQ300" s="4"/>
      <c r="DR300" s="4"/>
      <c r="DS300" s="4"/>
      <c r="DT300" s="4"/>
      <c r="DU300" s="4"/>
      <c r="DV300" s="4"/>
      <c r="DW300" s="4"/>
      <c r="DX300" s="4"/>
      <c r="DY300" s="4"/>
      <c r="DZ300" s="4"/>
      <c r="EA300" s="4"/>
      <c r="EB300" s="4"/>
      <c r="EC300" s="4"/>
    </row>
    <row r="301" spans="1:133" s="13" customFormat="1" ht="173.25" x14ac:dyDescent="0.25">
      <c r="A301" s="130" t="s">
        <v>533</v>
      </c>
      <c r="B301" s="132" t="s">
        <v>625</v>
      </c>
      <c r="C301" s="56" t="s">
        <v>626</v>
      </c>
      <c r="D301" s="56" t="s">
        <v>627</v>
      </c>
      <c r="E301" s="141">
        <v>1.9E-2</v>
      </c>
      <c r="F301" s="141">
        <v>2.4E-2</v>
      </c>
      <c r="G301" s="139" t="s">
        <v>628</v>
      </c>
      <c r="H301" s="139" t="s">
        <v>1435</v>
      </c>
      <c r="I301" s="103" t="s">
        <v>629</v>
      </c>
      <c r="J301" s="103" t="s">
        <v>1682</v>
      </c>
      <c r="K301" s="178">
        <v>0</v>
      </c>
      <c r="L301" s="179">
        <v>100</v>
      </c>
      <c r="M301" s="103" t="s">
        <v>1141</v>
      </c>
      <c r="N301" s="56" t="s">
        <v>164</v>
      </c>
      <c r="O301" s="54" t="s">
        <v>630</v>
      </c>
      <c r="P301" s="58" t="s">
        <v>39</v>
      </c>
      <c r="Q301" s="171" t="s">
        <v>1680</v>
      </c>
      <c r="R301" s="182">
        <v>0</v>
      </c>
      <c r="S301" s="178">
        <v>30</v>
      </c>
      <c r="T301" s="178">
        <v>30</v>
      </c>
      <c r="U301" s="183">
        <v>40</v>
      </c>
      <c r="V301" s="59"/>
      <c r="W301" s="60"/>
      <c r="X301" s="60"/>
      <c r="Y301" s="60"/>
      <c r="Z301" s="60"/>
      <c r="AA301" s="61"/>
      <c r="AB301" s="62">
        <v>70000000</v>
      </c>
      <c r="AC301" s="60"/>
      <c r="AD301" s="60"/>
      <c r="AE301" s="60"/>
      <c r="AF301" s="60"/>
      <c r="AG301" s="60"/>
      <c r="AH301" s="63"/>
      <c r="AI301" s="62">
        <v>37450000</v>
      </c>
      <c r="AJ301" s="60"/>
      <c r="AK301" s="60"/>
      <c r="AL301" s="60"/>
      <c r="AM301" s="60"/>
      <c r="AN301" s="60"/>
      <c r="AO301" s="63"/>
      <c r="AP301" s="62">
        <v>40071500</v>
      </c>
      <c r="AQ301" s="60"/>
      <c r="AR301" s="60"/>
      <c r="AS301" s="60"/>
      <c r="AT301" s="60"/>
      <c r="AU301" s="60"/>
      <c r="AV301" s="64"/>
      <c r="AW301" s="55">
        <f t="shared" si="22"/>
        <v>0</v>
      </c>
      <c r="AX301" s="55">
        <f t="shared" si="23"/>
        <v>70000000</v>
      </c>
      <c r="AY301" s="55">
        <f t="shared" si="24"/>
        <v>37450000</v>
      </c>
      <c r="AZ301" s="55">
        <f t="shared" si="25"/>
        <v>40071500</v>
      </c>
      <c r="BA301" s="55">
        <f t="shared" si="26"/>
        <v>147521500</v>
      </c>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c r="CP301" s="4"/>
      <c r="CQ301" s="4"/>
      <c r="CR301" s="4"/>
      <c r="CS301" s="4"/>
      <c r="CT301" s="4"/>
      <c r="CU301" s="4"/>
      <c r="CV301" s="4"/>
      <c r="CW301" s="4"/>
      <c r="CX301" s="4"/>
      <c r="CY301" s="4"/>
      <c r="CZ301" s="4"/>
      <c r="DA301" s="4"/>
      <c r="DB301" s="4"/>
      <c r="DC301" s="4"/>
      <c r="DD301" s="4"/>
      <c r="DE301" s="4"/>
      <c r="DF301" s="4"/>
      <c r="DG301" s="4"/>
      <c r="DH301" s="4"/>
      <c r="DI301" s="4"/>
      <c r="DJ301" s="4"/>
      <c r="DK301" s="4"/>
      <c r="DL301" s="4"/>
      <c r="DM301" s="4"/>
      <c r="DN301" s="4"/>
      <c r="DO301" s="4"/>
      <c r="DP301" s="4"/>
      <c r="DQ301" s="4"/>
      <c r="DR301" s="4"/>
      <c r="DS301" s="4"/>
      <c r="DT301" s="4"/>
      <c r="DU301" s="4"/>
      <c r="DV301" s="4"/>
      <c r="DW301" s="4"/>
      <c r="DX301" s="4"/>
      <c r="DY301" s="4"/>
      <c r="DZ301" s="4"/>
      <c r="EA301" s="4"/>
      <c r="EB301" s="4"/>
      <c r="EC301" s="4"/>
    </row>
    <row r="302" spans="1:133" s="13" customFormat="1" ht="173.25" x14ac:dyDescent="0.25">
      <c r="A302" s="130" t="s">
        <v>533</v>
      </c>
      <c r="B302" s="132" t="s">
        <v>625</v>
      </c>
      <c r="C302" s="56" t="s">
        <v>626</v>
      </c>
      <c r="D302" s="56" t="s">
        <v>627</v>
      </c>
      <c r="E302" s="141">
        <v>1.9E-2</v>
      </c>
      <c r="F302" s="141">
        <v>2.4E-2</v>
      </c>
      <c r="G302" s="139" t="s">
        <v>628</v>
      </c>
      <c r="H302" s="139" t="s">
        <v>1436</v>
      </c>
      <c r="I302" s="103" t="s">
        <v>631</v>
      </c>
      <c r="J302" s="103" t="s">
        <v>1682</v>
      </c>
      <c r="K302" s="178">
        <v>0</v>
      </c>
      <c r="L302" s="179">
        <v>100</v>
      </c>
      <c r="M302" s="103" t="s">
        <v>1141</v>
      </c>
      <c r="N302" s="56" t="s">
        <v>164</v>
      </c>
      <c r="O302" s="54" t="s">
        <v>630</v>
      </c>
      <c r="P302" s="58" t="s">
        <v>39</v>
      </c>
      <c r="Q302" s="171" t="s">
        <v>1680</v>
      </c>
      <c r="R302" s="182">
        <v>0</v>
      </c>
      <c r="S302" s="178">
        <v>0</v>
      </c>
      <c r="T302" s="178">
        <v>30</v>
      </c>
      <c r="U302" s="183">
        <v>70</v>
      </c>
      <c r="V302" s="59"/>
      <c r="W302" s="60"/>
      <c r="X302" s="60"/>
      <c r="Y302" s="60"/>
      <c r="Z302" s="60"/>
      <c r="AA302" s="61"/>
      <c r="AB302" s="62"/>
      <c r="AC302" s="60"/>
      <c r="AD302" s="60"/>
      <c r="AE302" s="60"/>
      <c r="AF302" s="60"/>
      <c r="AG302" s="60"/>
      <c r="AH302" s="63"/>
      <c r="AI302" s="62">
        <v>1631721088</v>
      </c>
      <c r="AJ302" s="60"/>
      <c r="AK302" s="60">
        <v>332113837</v>
      </c>
      <c r="AL302" s="60"/>
      <c r="AM302" s="60">
        <v>1823309</v>
      </c>
      <c r="AN302" s="60"/>
      <c r="AO302" s="63"/>
      <c r="AP302" s="62">
        <v>1694042078</v>
      </c>
      <c r="AQ302" s="60"/>
      <c r="AR302" s="60">
        <v>346062618</v>
      </c>
      <c r="AS302" s="60"/>
      <c r="AT302" s="60">
        <v>1878008</v>
      </c>
      <c r="AU302" s="60"/>
      <c r="AV302" s="64"/>
      <c r="AW302" s="55">
        <f t="shared" si="22"/>
        <v>0</v>
      </c>
      <c r="AX302" s="55">
        <f t="shared" si="23"/>
        <v>0</v>
      </c>
      <c r="AY302" s="55">
        <f t="shared" si="24"/>
        <v>1965658234</v>
      </c>
      <c r="AZ302" s="55">
        <f t="shared" si="25"/>
        <v>2041982704</v>
      </c>
      <c r="BA302" s="55">
        <f t="shared" si="26"/>
        <v>4007640938</v>
      </c>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row>
    <row r="303" spans="1:133" s="13" customFormat="1" ht="173.25" x14ac:dyDescent="0.25">
      <c r="A303" s="130" t="s">
        <v>533</v>
      </c>
      <c r="B303" s="132" t="s">
        <v>625</v>
      </c>
      <c r="C303" s="56" t="s">
        <v>626</v>
      </c>
      <c r="D303" s="56" t="s">
        <v>627</v>
      </c>
      <c r="E303" s="141">
        <v>1.9E-2</v>
      </c>
      <c r="F303" s="141">
        <v>2.4E-2</v>
      </c>
      <c r="G303" s="139" t="s">
        <v>632</v>
      </c>
      <c r="H303" s="139" t="s">
        <v>1437</v>
      </c>
      <c r="I303" s="103" t="s">
        <v>633</v>
      </c>
      <c r="J303" s="103" t="s">
        <v>1683</v>
      </c>
      <c r="K303" s="56">
        <v>7</v>
      </c>
      <c r="L303" s="86">
        <v>12</v>
      </c>
      <c r="M303" s="103" t="s">
        <v>1141</v>
      </c>
      <c r="N303" s="56" t="s">
        <v>164</v>
      </c>
      <c r="O303" s="54" t="s">
        <v>630</v>
      </c>
      <c r="P303" s="58" t="s">
        <v>39</v>
      </c>
      <c r="Q303" s="171" t="s">
        <v>1680</v>
      </c>
      <c r="R303" s="182">
        <v>0</v>
      </c>
      <c r="S303" s="178">
        <v>2</v>
      </c>
      <c r="T303" s="178">
        <v>4</v>
      </c>
      <c r="U303" s="183">
        <v>6</v>
      </c>
      <c r="V303" s="59"/>
      <c r="W303" s="60"/>
      <c r="X303" s="60"/>
      <c r="Y303" s="60"/>
      <c r="Z303" s="60"/>
      <c r="AA303" s="61"/>
      <c r="AB303" s="62">
        <v>3707095572</v>
      </c>
      <c r="AC303" s="60"/>
      <c r="AD303" s="60">
        <f>956101873-70000000</f>
        <v>886101873</v>
      </c>
      <c r="AE303" s="60"/>
      <c r="AF303" s="60">
        <v>5310608</v>
      </c>
      <c r="AG303" s="60"/>
      <c r="AH303" s="63"/>
      <c r="AI303" s="62">
        <f>1669171088-481500000</f>
        <v>1187671088</v>
      </c>
      <c r="AJ303" s="60"/>
      <c r="AK303" s="60">
        <f>332113837-76398000</f>
        <v>255715837</v>
      </c>
      <c r="AL303" s="60"/>
      <c r="AM303" s="60">
        <v>1823309</v>
      </c>
      <c r="AN303" s="60"/>
      <c r="AO303" s="63"/>
      <c r="AP303" s="62">
        <f>1734113578-516807860</f>
        <v>1217305718</v>
      </c>
      <c r="AQ303" s="60"/>
      <c r="AR303" s="60">
        <f>346062618-81745860</f>
        <v>264316758</v>
      </c>
      <c r="AS303" s="60"/>
      <c r="AT303" s="60">
        <v>1878008</v>
      </c>
      <c r="AU303" s="60"/>
      <c r="AV303" s="64"/>
      <c r="AW303" s="55">
        <f t="shared" si="22"/>
        <v>0</v>
      </c>
      <c r="AX303" s="55">
        <f t="shared" si="23"/>
        <v>4598508053</v>
      </c>
      <c r="AY303" s="55">
        <f t="shared" si="24"/>
        <v>1445210234</v>
      </c>
      <c r="AZ303" s="55">
        <f t="shared" si="25"/>
        <v>1483500484</v>
      </c>
      <c r="BA303" s="55">
        <f t="shared" si="26"/>
        <v>7527218771</v>
      </c>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row>
    <row r="304" spans="1:133" s="13" customFormat="1" ht="173.25" x14ac:dyDescent="0.25">
      <c r="A304" s="130" t="s">
        <v>533</v>
      </c>
      <c r="B304" s="132" t="s">
        <v>625</v>
      </c>
      <c r="C304" s="56" t="s">
        <v>626</v>
      </c>
      <c r="D304" s="56" t="s">
        <v>627</v>
      </c>
      <c r="E304" s="141">
        <v>1.9E-2</v>
      </c>
      <c r="F304" s="141">
        <v>2.4E-2</v>
      </c>
      <c r="G304" s="139" t="s">
        <v>632</v>
      </c>
      <c r="H304" s="139" t="s">
        <v>1438</v>
      </c>
      <c r="I304" s="103" t="s">
        <v>634</v>
      </c>
      <c r="J304" s="103" t="s">
        <v>1682</v>
      </c>
      <c r="K304" s="178">
        <v>100</v>
      </c>
      <c r="L304" s="179">
        <v>100</v>
      </c>
      <c r="M304" s="103" t="s">
        <v>1141</v>
      </c>
      <c r="N304" s="56" t="s">
        <v>164</v>
      </c>
      <c r="O304" s="54" t="s">
        <v>630</v>
      </c>
      <c r="P304" s="58" t="s">
        <v>42</v>
      </c>
      <c r="Q304" s="54" t="s">
        <v>1679</v>
      </c>
      <c r="R304" s="182">
        <v>100</v>
      </c>
      <c r="S304" s="178">
        <v>100</v>
      </c>
      <c r="T304" s="178">
        <v>100</v>
      </c>
      <c r="U304" s="183">
        <v>100</v>
      </c>
      <c r="V304" s="59">
        <v>10000000</v>
      </c>
      <c r="W304" s="60"/>
      <c r="X304" s="60"/>
      <c r="Y304" s="60"/>
      <c r="Z304" s="60"/>
      <c r="AA304" s="61"/>
      <c r="AB304" s="62">
        <v>430000000</v>
      </c>
      <c r="AC304" s="60"/>
      <c r="AD304" s="60">
        <v>50000000</v>
      </c>
      <c r="AE304" s="60"/>
      <c r="AF304" s="60"/>
      <c r="AG304" s="60"/>
      <c r="AH304" s="63"/>
      <c r="AI304" s="62">
        <v>460100000</v>
      </c>
      <c r="AJ304" s="60"/>
      <c r="AK304" s="60">
        <v>53500000</v>
      </c>
      <c r="AL304" s="60"/>
      <c r="AM304" s="60"/>
      <c r="AN304" s="60"/>
      <c r="AO304" s="63"/>
      <c r="AP304" s="62">
        <v>492307000</v>
      </c>
      <c r="AQ304" s="60"/>
      <c r="AR304" s="60">
        <v>57245000</v>
      </c>
      <c r="AS304" s="60"/>
      <c r="AT304" s="60"/>
      <c r="AU304" s="60"/>
      <c r="AV304" s="64"/>
      <c r="AW304" s="55">
        <f t="shared" si="22"/>
        <v>10000000</v>
      </c>
      <c r="AX304" s="55">
        <f t="shared" si="23"/>
        <v>480000000</v>
      </c>
      <c r="AY304" s="55">
        <f t="shared" si="24"/>
        <v>513600000</v>
      </c>
      <c r="AZ304" s="55">
        <f t="shared" si="25"/>
        <v>549552000</v>
      </c>
      <c r="BA304" s="55">
        <f t="shared" si="26"/>
        <v>1553152000</v>
      </c>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c r="CP304" s="4"/>
      <c r="CQ304" s="4"/>
      <c r="CR304" s="4"/>
      <c r="CS304" s="4"/>
      <c r="CT304" s="4"/>
      <c r="CU304" s="4"/>
      <c r="CV304" s="4"/>
      <c r="CW304" s="4"/>
      <c r="CX304" s="4"/>
      <c r="CY304" s="4"/>
      <c r="CZ304" s="4"/>
      <c r="DA304" s="4"/>
      <c r="DB304" s="4"/>
      <c r="DC304" s="4"/>
      <c r="DD304" s="4"/>
      <c r="DE304" s="4"/>
      <c r="DF304" s="4"/>
      <c r="DG304" s="4"/>
      <c r="DH304" s="4"/>
      <c r="DI304" s="4"/>
      <c r="DJ304" s="4"/>
      <c r="DK304" s="4"/>
      <c r="DL304" s="4"/>
      <c r="DM304" s="4"/>
      <c r="DN304" s="4"/>
      <c r="DO304" s="4"/>
      <c r="DP304" s="4"/>
      <c r="DQ304" s="4"/>
      <c r="DR304" s="4"/>
      <c r="DS304" s="4"/>
      <c r="DT304" s="4"/>
      <c r="DU304" s="4"/>
      <c r="DV304" s="4"/>
      <c r="DW304" s="4"/>
      <c r="DX304" s="4"/>
      <c r="DY304" s="4"/>
      <c r="DZ304" s="4"/>
      <c r="EA304" s="4"/>
      <c r="EB304" s="4"/>
      <c r="EC304" s="4"/>
    </row>
    <row r="305" spans="1:133" s="13" customFormat="1" ht="173.25" x14ac:dyDescent="0.25">
      <c r="A305" s="130" t="s">
        <v>533</v>
      </c>
      <c r="B305" s="132" t="s">
        <v>625</v>
      </c>
      <c r="C305" s="56" t="s">
        <v>626</v>
      </c>
      <c r="D305" s="56" t="s">
        <v>627</v>
      </c>
      <c r="E305" s="141">
        <v>1.9E-2</v>
      </c>
      <c r="F305" s="141">
        <v>2.4E-2</v>
      </c>
      <c r="G305" s="139" t="s">
        <v>632</v>
      </c>
      <c r="H305" s="139" t="s">
        <v>1146</v>
      </c>
      <c r="I305" s="109" t="s">
        <v>40</v>
      </c>
      <c r="J305" s="109" t="s">
        <v>1682</v>
      </c>
      <c r="K305" s="69" t="s">
        <v>41</v>
      </c>
      <c r="L305" s="179">
        <v>100</v>
      </c>
      <c r="M305" s="103" t="s">
        <v>1141</v>
      </c>
      <c r="N305" s="56" t="s">
        <v>164</v>
      </c>
      <c r="O305" s="54" t="s">
        <v>630</v>
      </c>
      <c r="P305" s="72" t="s">
        <v>42</v>
      </c>
      <c r="Q305" s="54" t="s">
        <v>1679</v>
      </c>
      <c r="R305" s="182">
        <v>100</v>
      </c>
      <c r="S305" s="178">
        <v>100</v>
      </c>
      <c r="T305" s="178">
        <v>100</v>
      </c>
      <c r="U305" s="183">
        <v>100</v>
      </c>
      <c r="V305" s="59">
        <v>10000000</v>
      </c>
      <c r="W305" s="60"/>
      <c r="X305" s="60"/>
      <c r="Y305" s="60"/>
      <c r="Z305" s="60"/>
      <c r="AA305" s="61"/>
      <c r="AB305" s="62">
        <v>20000000</v>
      </c>
      <c r="AC305" s="60"/>
      <c r="AD305" s="60">
        <v>20000000</v>
      </c>
      <c r="AE305" s="60"/>
      <c r="AF305" s="60"/>
      <c r="AG305" s="60"/>
      <c r="AH305" s="63"/>
      <c r="AI305" s="62">
        <v>21400000</v>
      </c>
      <c r="AJ305" s="60"/>
      <c r="AK305" s="60">
        <v>22898000</v>
      </c>
      <c r="AL305" s="60"/>
      <c r="AM305" s="60"/>
      <c r="AN305" s="60"/>
      <c r="AO305" s="63"/>
      <c r="AP305" s="62">
        <v>24500860</v>
      </c>
      <c r="AQ305" s="60"/>
      <c r="AR305" s="60">
        <v>24500860</v>
      </c>
      <c r="AS305" s="60"/>
      <c r="AT305" s="60"/>
      <c r="AU305" s="60"/>
      <c r="AV305" s="64"/>
      <c r="AW305" s="55">
        <f t="shared" si="22"/>
        <v>10000000</v>
      </c>
      <c r="AX305" s="55">
        <f t="shared" si="23"/>
        <v>40000000</v>
      </c>
      <c r="AY305" s="55">
        <f t="shared" si="24"/>
        <v>44298000</v>
      </c>
      <c r="AZ305" s="55">
        <f t="shared" si="25"/>
        <v>49001720</v>
      </c>
      <c r="BA305" s="55">
        <f t="shared" si="26"/>
        <v>143299720</v>
      </c>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c r="CP305" s="4"/>
      <c r="CQ305" s="4"/>
      <c r="CR305" s="4"/>
      <c r="CS305" s="4"/>
      <c r="CT305" s="4"/>
      <c r="CU305" s="4"/>
      <c r="CV305" s="4"/>
      <c r="CW305" s="4"/>
      <c r="CX305" s="4"/>
      <c r="CY305" s="4"/>
      <c r="CZ305" s="4"/>
      <c r="DA305" s="4"/>
      <c r="DB305" s="4"/>
      <c r="DC305" s="4"/>
      <c r="DD305" s="4"/>
      <c r="DE305" s="4"/>
      <c r="DF305" s="4"/>
      <c r="DG305" s="4"/>
      <c r="DH305" s="4"/>
      <c r="DI305" s="4"/>
      <c r="DJ305" s="4"/>
      <c r="DK305" s="4"/>
      <c r="DL305" s="4"/>
      <c r="DM305" s="4"/>
      <c r="DN305" s="4"/>
      <c r="DO305" s="4"/>
      <c r="DP305" s="4"/>
      <c r="DQ305" s="4"/>
      <c r="DR305" s="4"/>
      <c r="DS305" s="4"/>
      <c r="DT305" s="4"/>
      <c r="DU305" s="4"/>
      <c r="DV305" s="4"/>
      <c r="DW305" s="4"/>
      <c r="DX305" s="4"/>
      <c r="DY305" s="4"/>
      <c r="DZ305" s="4"/>
      <c r="EA305" s="4"/>
      <c r="EB305" s="4"/>
      <c r="EC305" s="4"/>
    </row>
    <row r="306" spans="1:133" s="13" customFormat="1" ht="173.25" x14ac:dyDescent="0.25">
      <c r="A306" s="130" t="s">
        <v>533</v>
      </c>
      <c r="B306" s="132" t="s">
        <v>625</v>
      </c>
      <c r="C306" s="56" t="s">
        <v>626</v>
      </c>
      <c r="D306" s="56" t="s">
        <v>627</v>
      </c>
      <c r="E306" s="141">
        <v>1.9E-2</v>
      </c>
      <c r="F306" s="141">
        <v>2.4E-2</v>
      </c>
      <c r="G306" s="112" t="s">
        <v>635</v>
      </c>
      <c r="H306" s="112" t="s">
        <v>1439</v>
      </c>
      <c r="I306" s="103" t="s">
        <v>636</v>
      </c>
      <c r="J306" s="103" t="s">
        <v>1683</v>
      </c>
      <c r="K306" s="86">
        <v>1</v>
      </c>
      <c r="L306" s="86">
        <v>3</v>
      </c>
      <c r="M306" s="103" t="s">
        <v>1141</v>
      </c>
      <c r="N306" s="56" t="s">
        <v>164</v>
      </c>
      <c r="O306" s="54" t="s">
        <v>630</v>
      </c>
      <c r="P306" s="58" t="s">
        <v>39</v>
      </c>
      <c r="Q306" s="171" t="s">
        <v>1680</v>
      </c>
      <c r="R306" s="182">
        <v>0</v>
      </c>
      <c r="S306" s="178">
        <v>1</v>
      </c>
      <c r="T306" s="178">
        <v>1</v>
      </c>
      <c r="U306" s="183">
        <v>1</v>
      </c>
      <c r="V306" s="59"/>
      <c r="W306" s="60"/>
      <c r="X306" s="60"/>
      <c r="Y306" s="60"/>
      <c r="Z306" s="60"/>
      <c r="AA306" s="61"/>
      <c r="AB306" s="62">
        <v>50000000</v>
      </c>
      <c r="AC306" s="60"/>
      <c r="AD306" s="60"/>
      <c r="AE306" s="60"/>
      <c r="AF306" s="60"/>
      <c r="AG306" s="60"/>
      <c r="AH306" s="63"/>
      <c r="AI306" s="62">
        <v>200000000</v>
      </c>
      <c r="AJ306" s="60"/>
      <c r="AK306" s="60">
        <v>232113837</v>
      </c>
      <c r="AL306" s="60"/>
      <c r="AM306" s="60">
        <v>1823309</v>
      </c>
      <c r="AN306" s="60"/>
      <c r="AO306" s="63"/>
      <c r="AP306" s="62">
        <f>214000000+1520113578</f>
        <v>1734113578</v>
      </c>
      <c r="AQ306" s="60"/>
      <c r="AR306" s="60">
        <v>248361806</v>
      </c>
      <c r="AS306" s="60"/>
      <c r="AT306" s="60">
        <v>1878008</v>
      </c>
      <c r="AU306" s="60"/>
      <c r="AV306" s="64"/>
      <c r="AW306" s="55">
        <f t="shared" si="22"/>
        <v>0</v>
      </c>
      <c r="AX306" s="55">
        <f t="shared" si="23"/>
        <v>50000000</v>
      </c>
      <c r="AY306" s="55">
        <f t="shared" si="24"/>
        <v>433937146</v>
      </c>
      <c r="AZ306" s="55">
        <f t="shared" si="25"/>
        <v>1984353392</v>
      </c>
      <c r="BA306" s="55">
        <f t="shared" si="26"/>
        <v>2468290538</v>
      </c>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row>
    <row r="307" spans="1:133" s="13" customFormat="1" ht="173.25" x14ac:dyDescent="0.25">
      <c r="A307" s="130" t="s">
        <v>533</v>
      </c>
      <c r="B307" s="132" t="s">
        <v>625</v>
      </c>
      <c r="C307" s="56" t="s">
        <v>626</v>
      </c>
      <c r="D307" s="56" t="s">
        <v>627</v>
      </c>
      <c r="E307" s="141">
        <v>1.9E-2</v>
      </c>
      <c r="F307" s="141">
        <v>2.4E-2</v>
      </c>
      <c r="G307" s="112" t="s">
        <v>635</v>
      </c>
      <c r="H307" s="112" t="s">
        <v>1440</v>
      </c>
      <c r="I307" s="103" t="s">
        <v>637</v>
      </c>
      <c r="J307" s="103" t="s">
        <v>1682</v>
      </c>
      <c r="K307" s="178">
        <v>0</v>
      </c>
      <c r="L307" s="179">
        <v>100</v>
      </c>
      <c r="M307" s="103" t="s">
        <v>1141</v>
      </c>
      <c r="N307" s="56" t="s">
        <v>164</v>
      </c>
      <c r="O307" s="54" t="s">
        <v>630</v>
      </c>
      <c r="P307" s="58" t="s">
        <v>39</v>
      </c>
      <c r="Q307" s="171" t="s">
        <v>1680</v>
      </c>
      <c r="R307" s="182">
        <v>0</v>
      </c>
      <c r="S307" s="178">
        <v>10</v>
      </c>
      <c r="T307" s="178">
        <v>30</v>
      </c>
      <c r="U307" s="183">
        <v>60</v>
      </c>
      <c r="V307" s="59"/>
      <c r="W307" s="60"/>
      <c r="X307" s="60"/>
      <c r="Y307" s="60"/>
      <c r="Z307" s="60"/>
      <c r="AA307" s="61"/>
      <c r="AB307" s="62">
        <v>100000000</v>
      </c>
      <c r="AC307" s="60"/>
      <c r="AD307" s="60"/>
      <c r="AE307" s="60"/>
      <c r="AF307" s="60"/>
      <c r="AG307" s="60"/>
      <c r="AH307" s="63"/>
      <c r="AI307" s="62">
        <v>1469171088</v>
      </c>
      <c r="AJ307" s="60"/>
      <c r="AK307" s="60">
        <v>100000000</v>
      </c>
      <c r="AL307" s="60"/>
      <c r="AM307" s="60"/>
      <c r="AN307" s="60"/>
      <c r="AO307" s="63"/>
      <c r="AP307" s="62">
        <v>0</v>
      </c>
      <c r="AQ307" s="60"/>
      <c r="AR307" s="60">
        <f>346062618-248361806</f>
        <v>97700812</v>
      </c>
      <c r="AS307" s="60"/>
      <c r="AT307" s="60"/>
      <c r="AU307" s="60"/>
      <c r="AV307" s="64"/>
      <c r="AW307" s="55">
        <f t="shared" si="22"/>
        <v>0</v>
      </c>
      <c r="AX307" s="55">
        <f t="shared" si="23"/>
        <v>100000000</v>
      </c>
      <c r="AY307" s="55">
        <f t="shared" si="24"/>
        <v>1569171088</v>
      </c>
      <c r="AZ307" s="55">
        <f t="shared" si="25"/>
        <v>97700812</v>
      </c>
      <c r="BA307" s="55">
        <f t="shared" si="26"/>
        <v>1766871900</v>
      </c>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c r="CP307" s="4"/>
      <c r="CQ307" s="4"/>
      <c r="CR307" s="4"/>
      <c r="CS307" s="4"/>
      <c r="CT307" s="4"/>
      <c r="CU307" s="4"/>
      <c r="CV307" s="4"/>
      <c r="CW307" s="4"/>
      <c r="CX307" s="4"/>
      <c r="CY307" s="4"/>
      <c r="CZ307" s="4"/>
      <c r="DA307" s="4"/>
      <c r="DB307" s="4"/>
      <c r="DC307" s="4"/>
      <c r="DD307" s="4"/>
      <c r="DE307" s="4"/>
      <c r="DF307" s="4"/>
      <c r="DG307" s="4"/>
      <c r="DH307" s="4"/>
      <c r="DI307" s="4"/>
      <c r="DJ307" s="4"/>
      <c r="DK307" s="4"/>
      <c r="DL307" s="4"/>
      <c r="DM307" s="4"/>
      <c r="DN307" s="4"/>
      <c r="DO307" s="4"/>
      <c r="DP307" s="4"/>
      <c r="DQ307" s="4"/>
      <c r="DR307" s="4"/>
      <c r="DS307" s="4"/>
      <c r="DT307" s="4"/>
      <c r="DU307" s="4"/>
      <c r="DV307" s="4"/>
      <c r="DW307" s="4"/>
      <c r="DX307" s="4"/>
      <c r="DY307" s="4"/>
      <c r="DZ307" s="4"/>
      <c r="EA307" s="4"/>
      <c r="EB307" s="4"/>
      <c r="EC307" s="4"/>
    </row>
    <row r="308" spans="1:133" s="13" customFormat="1" ht="126" x14ac:dyDescent="0.25">
      <c r="A308" s="130" t="s">
        <v>533</v>
      </c>
      <c r="B308" s="132" t="s">
        <v>625</v>
      </c>
      <c r="C308" s="119" t="s">
        <v>638</v>
      </c>
      <c r="D308" s="119" t="s">
        <v>639</v>
      </c>
      <c r="E308" s="119">
        <v>4.3</v>
      </c>
      <c r="F308" s="119">
        <v>6</v>
      </c>
      <c r="G308" s="138" t="s">
        <v>640</v>
      </c>
      <c r="H308" s="138" t="s">
        <v>1441</v>
      </c>
      <c r="I308" s="103" t="s">
        <v>641</v>
      </c>
      <c r="J308" s="103" t="s">
        <v>1683</v>
      </c>
      <c r="K308" s="56">
        <v>30500</v>
      </c>
      <c r="L308" s="86">
        <v>150000</v>
      </c>
      <c r="M308" s="103" t="s">
        <v>1141</v>
      </c>
      <c r="N308" s="56" t="s">
        <v>164</v>
      </c>
      <c r="O308" s="54" t="s">
        <v>630</v>
      </c>
      <c r="P308" s="58" t="s">
        <v>39</v>
      </c>
      <c r="Q308" s="171" t="s">
        <v>1680</v>
      </c>
      <c r="R308" s="182">
        <v>25000</v>
      </c>
      <c r="S308" s="178">
        <v>30000</v>
      </c>
      <c r="T308" s="178">
        <v>40000</v>
      </c>
      <c r="U308" s="183">
        <v>55000</v>
      </c>
      <c r="V308" s="59">
        <v>7460464887</v>
      </c>
      <c r="W308" s="60">
        <v>2330116108</v>
      </c>
      <c r="X308" s="60"/>
      <c r="Y308" s="60"/>
      <c r="Z308" s="60"/>
      <c r="AA308" s="61"/>
      <c r="AB308" s="62">
        <f>1810849370-50000000</f>
        <v>1760849370</v>
      </c>
      <c r="AC308" s="60"/>
      <c r="AD308" s="60">
        <v>500000000</v>
      </c>
      <c r="AE308" s="60"/>
      <c r="AF308" s="60"/>
      <c r="AG308" s="60"/>
      <c r="AH308" s="63"/>
      <c r="AI308" s="62">
        <f>1780520977-267500000</f>
        <v>1513020977</v>
      </c>
      <c r="AJ308" s="60"/>
      <c r="AK308" s="60">
        <v>498170756</v>
      </c>
      <c r="AL308" s="60"/>
      <c r="AM308" s="60"/>
      <c r="AN308" s="60"/>
      <c r="AO308" s="63"/>
      <c r="AP308" s="62">
        <f>1852589708-286225000</f>
        <v>1566364708</v>
      </c>
      <c r="AQ308" s="60"/>
      <c r="AR308" s="60">
        <v>519093928</v>
      </c>
      <c r="AS308" s="60"/>
      <c r="AT308" s="60"/>
      <c r="AU308" s="60"/>
      <c r="AV308" s="64"/>
      <c r="AW308" s="55">
        <f t="shared" si="22"/>
        <v>9790580995</v>
      </c>
      <c r="AX308" s="55">
        <f t="shared" si="23"/>
        <v>2260849370</v>
      </c>
      <c r="AY308" s="55">
        <f t="shared" si="24"/>
        <v>2011191733</v>
      </c>
      <c r="AZ308" s="55">
        <f t="shared" si="25"/>
        <v>2085458636</v>
      </c>
      <c r="BA308" s="55">
        <f t="shared" si="26"/>
        <v>16148080734</v>
      </c>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c r="CP308" s="4"/>
      <c r="CQ308" s="4"/>
      <c r="CR308" s="4"/>
      <c r="CS308" s="4"/>
      <c r="CT308" s="4"/>
      <c r="CU308" s="4"/>
      <c r="CV308" s="4"/>
      <c r="CW308" s="4"/>
      <c r="CX308" s="4"/>
      <c r="CY308" s="4"/>
      <c r="CZ308" s="4"/>
      <c r="DA308" s="4"/>
      <c r="DB308" s="4"/>
      <c r="DC308" s="4"/>
      <c r="DD308" s="4"/>
      <c r="DE308" s="4"/>
      <c r="DF308" s="4"/>
      <c r="DG308" s="4"/>
      <c r="DH308" s="4"/>
      <c r="DI308" s="4"/>
      <c r="DJ308" s="4"/>
      <c r="DK308" s="4"/>
      <c r="DL308" s="4"/>
      <c r="DM308" s="4"/>
      <c r="DN308" s="4"/>
      <c r="DO308" s="4"/>
      <c r="DP308" s="4"/>
      <c r="DQ308" s="4"/>
      <c r="DR308" s="4"/>
      <c r="DS308" s="4"/>
      <c r="DT308" s="4"/>
      <c r="DU308" s="4"/>
      <c r="DV308" s="4"/>
      <c r="DW308" s="4"/>
      <c r="DX308" s="4"/>
      <c r="DY308" s="4"/>
      <c r="DZ308" s="4"/>
      <c r="EA308" s="4"/>
      <c r="EB308" s="4"/>
      <c r="EC308" s="4"/>
    </row>
    <row r="309" spans="1:133" s="13" customFormat="1" ht="110.25" x14ac:dyDescent="0.25">
      <c r="A309" s="130" t="s">
        <v>533</v>
      </c>
      <c r="B309" s="132" t="s">
        <v>625</v>
      </c>
      <c r="C309" s="119" t="s">
        <v>638</v>
      </c>
      <c r="D309" s="119" t="s">
        <v>639</v>
      </c>
      <c r="E309" s="119">
        <v>4.3</v>
      </c>
      <c r="F309" s="119">
        <v>6</v>
      </c>
      <c r="G309" s="138" t="s">
        <v>640</v>
      </c>
      <c r="H309" s="138" t="s">
        <v>1442</v>
      </c>
      <c r="I309" s="103" t="s">
        <v>642</v>
      </c>
      <c r="J309" s="103" t="s">
        <v>1683</v>
      </c>
      <c r="K309" s="56">
        <v>0</v>
      </c>
      <c r="L309" s="86">
        <v>1</v>
      </c>
      <c r="M309" s="103" t="s">
        <v>1141</v>
      </c>
      <c r="N309" s="56" t="s">
        <v>164</v>
      </c>
      <c r="O309" s="54" t="s">
        <v>630</v>
      </c>
      <c r="P309" s="58" t="s">
        <v>39</v>
      </c>
      <c r="Q309" s="171" t="s">
        <v>1680</v>
      </c>
      <c r="R309" s="182">
        <v>0</v>
      </c>
      <c r="S309" s="178">
        <v>0</v>
      </c>
      <c r="T309" s="178">
        <v>1</v>
      </c>
      <c r="U309" s="183">
        <v>0</v>
      </c>
      <c r="V309" s="59"/>
      <c r="W309" s="60"/>
      <c r="X309" s="60"/>
      <c r="Y309" s="60"/>
      <c r="Z309" s="60"/>
      <c r="AA309" s="61"/>
      <c r="AB309" s="62"/>
      <c r="AC309" s="60"/>
      <c r="AD309" s="60"/>
      <c r="AE309" s="60"/>
      <c r="AF309" s="60"/>
      <c r="AG309" s="60"/>
      <c r="AH309" s="63"/>
      <c r="AI309" s="62">
        <v>53500000</v>
      </c>
      <c r="AJ309" s="60"/>
      <c r="AK309" s="60"/>
      <c r="AL309" s="60"/>
      <c r="AM309" s="60"/>
      <c r="AN309" s="60"/>
      <c r="AO309" s="63"/>
      <c r="AP309" s="62">
        <v>0</v>
      </c>
      <c r="AQ309" s="60"/>
      <c r="AR309" s="60"/>
      <c r="AS309" s="60"/>
      <c r="AT309" s="60"/>
      <c r="AU309" s="60"/>
      <c r="AV309" s="64"/>
      <c r="AW309" s="55">
        <f t="shared" si="22"/>
        <v>0</v>
      </c>
      <c r="AX309" s="55">
        <f t="shared" si="23"/>
        <v>0</v>
      </c>
      <c r="AY309" s="55">
        <f t="shared" si="24"/>
        <v>53500000</v>
      </c>
      <c r="AZ309" s="55">
        <f t="shared" si="25"/>
        <v>0</v>
      </c>
      <c r="BA309" s="55">
        <f t="shared" si="26"/>
        <v>53500000</v>
      </c>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c r="CP309" s="4"/>
      <c r="CQ309" s="4"/>
      <c r="CR309" s="4"/>
      <c r="CS309" s="4"/>
      <c r="CT309" s="4"/>
      <c r="CU309" s="4"/>
      <c r="CV309" s="4"/>
      <c r="CW309" s="4"/>
      <c r="CX309" s="4"/>
      <c r="CY309" s="4"/>
      <c r="CZ309" s="4"/>
      <c r="DA309" s="4"/>
      <c r="DB309" s="4"/>
      <c r="DC309" s="4"/>
      <c r="DD309" s="4"/>
      <c r="DE309" s="4"/>
      <c r="DF309" s="4"/>
      <c r="DG309" s="4"/>
      <c r="DH309" s="4"/>
      <c r="DI309" s="4"/>
      <c r="DJ309" s="4"/>
      <c r="DK309" s="4"/>
      <c r="DL309" s="4"/>
      <c r="DM309" s="4"/>
      <c r="DN309" s="4"/>
      <c r="DO309" s="4"/>
      <c r="DP309" s="4"/>
      <c r="DQ309" s="4"/>
      <c r="DR309" s="4"/>
      <c r="DS309" s="4"/>
      <c r="DT309" s="4"/>
      <c r="DU309" s="4"/>
      <c r="DV309" s="4"/>
      <c r="DW309" s="4"/>
      <c r="DX309" s="4"/>
      <c r="DY309" s="4"/>
      <c r="DZ309" s="4"/>
      <c r="EA309" s="4"/>
      <c r="EB309" s="4"/>
      <c r="EC309" s="4"/>
    </row>
    <row r="310" spans="1:133" s="13" customFormat="1" ht="110.25" x14ac:dyDescent="0.25">
      <c r="A310" s="130" t="s">
        <v>533</v>
      </c>
      <c r="B310" s="132" t="s">
        <v>625</v>
      </c>
      <c r="C310" s="119" t="s">
        <v>638</v>
      </c>
      <c r="D310" s="119" t="s">
        <v>639</v>
      </c>
      <c r="E310" s="119">
        <v>4.3</v>
      </c>
      <c r="F310" s="119">
        <v>6</v>
      </c>
      <c r="G310" s="138" t="s">
        <v>640</v>
      </c>
      <c r="H310" s="138" t="s">
        <v>1443</v>
      </c>
      <c r="I310" s="103" t="s">
        <v>643</v>
      </c>
      <c r="J310" s="103" t="s">
        <v>1683</v>
      </c>
      <c r="K310" s="56">
        <v>0</v>
      </c>
      <c r="L310" s="86">
        <v>40</v>
      </c>
      <c r="M310" s="103" t="s">
        <v>1141</v>
      </c>
      <c r="N310" s="56" t="s">
        <v>164</v>
      </c>
      <c r="O310" s="54" t="s">
        <v>630</v>
      </c>
      <c r="P310" s="58" t="s">
        <v>39</v>
      </c>
      <c r="Q310" s="171" t="s">
        <v>1680</v>
      </c>
      <c r="R310" s="182">
        <v>0</v>
      </c>
      <c r="S310" s="178">
        <v>10</v>
      </c>
      <c r="T310" s="178">
        <v>15</v>
      </c>
      <c r="U310" s="183">
        <v>15</v>
      </c>
      <c r="V310" s="59"/>
      <c r="W310" s="60"/>
      <c r="X310" s="60"/>
      <c r="Y310" s="60"/>
      <c r="Z310" s="60"/>
      <c r="AA310" s="61"/>
      <c r="AB310" s="62">
        <v>250000000</v>
      </c>
      <c r="AC310" s="60"/>
      <c r="AD310" s="60"/>
      <c r="AE310" s="60"/>
      <c r="AF310" s="60"/>
      <c r="AG310" s="60"/>
      <c r="AH310" s="63"/>
      <c r="AI310" s="62">
        <v>214000000</v>
      </c>
      <c r="AJ310" s="60"/>
      <c r="AK310" s="60"/>
      <c r="AL310" s="60"/>
      <c r="AM310" s="60"/>
      <c r="AN310" s="60"/>
      <c r="AO310" s="63"/>
      <c r="AP310" s="62">
        <f>228980000+57245000</f>
        <v>286225000</v>
      </c>
      <c r="AQ310" s="60"/>
      <c r="AR310" s="60"/>
      <c r="AS310" s="60"/>
      <c r="AT310" s="60"/>
      <c r="AU310" s="60"/>
      <c r="AV310" s="64"/>
      <c r="AW310" s="55">
        <f t="shared" si="22"/>
        <v>0</v>
      </c>
      <c r="AX310" s="55">
        <f t="shared" si="23"/>
        <v>250000000</v>
      </c>
      <c r="AY310" s="55">
        <f t="shared" si="24"/>
        <v>214000000</v>
      </c>
      <c r="AZ310" s="55">
        <f t="shared" si="25"/>
        <v>286225000</v>
      </c>
      <c r="BA310" s="55">
        <f t="shared" si="26"/>
        <v>750225000</v>
      </c>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c r="EC310" s="32"/>
    </row>
    <row r="311" spans="1:133" s="13" customFormat="1" ht="110.25" x14ac:dyDescent="0.25">
      <c r="A311" s="130" t="s">
        <v>533</v>
      </c>
      <c r="B311" s="132" t="s">
        <v>625</v>
      </c>
      <c r="C311" s="119" t="s">
        <v>638</v>
      </c>
      <c r="D311" s="119" t="s">
        <v>639</v>
      </c>
      <c r="E311" s="119">
        <v>4.3</v>
      </c>
      <c r="F311" s="119">
        <v>6</v>
      </c>
      <c r="G311" s="110" t="s">
        <v>644</v>
      </c>
      <c r="H311" s="110" t="s">
        <v>1444</v>
      </c>
      <c r="I311" s="103" t="s">
        <v>645</v>
      </c>
      <c r="J311" s="103" t="s">
        <v>1683</v>
      </c>
      <c r="K311" s="56">
        <v>62429</v>
      </c>
      <c r="L311" s="86">
        <v>75000</v>
      </c>
      <c r="M311" s="103" t="s">
        <v>1141</v>
      </c>
      <c r="N311" s="56" t="s">
        <v>164</v>
      </c>
      <c r="O311" s="54" t="s">
        <v>630</v>
      </c>
      <c r="P311" s="58" t="s">
        <v>39</v>
      </c>
      <c r="Q311" s="171" t="s">
        <v>1680</v>
      </c>
      <c r="R311" s="182">
        <v>5000</v>
      </c>
      <c r="S311" s="178">
        <v>10000</v>
      </c>
      <c r="T311" s="178">
        <v>30000</v>
      </c>
      <c r="U311" s="183">
        <v>30000</v>
      </c>
      <c r="V311" s="59">
        <v>240000000</v>
      </c>
      <c r="W311" s="60"/>
      <c r="X311" s="60"/>
      <c r="Y311" s="60"/>
      <c r="Z311" s="60"/>
      <c r="AA311" s="61"/>
      <c r="AB311" s="62">
        <v>570000000</v>
      </c>
      <c r="AC311" s="60"/>
      <c r="AD311" s="60">
        <v>456181873</v>
      </c>
      <c r="AE311" s="60"/>
      <c r="AF311" s="60"/>
      <c r="AG311" s="60"/>
      <c r="AH311" s="63"/>
      <c r="AI311" s="62">
        <v>922665970</v>
      </c>
      <c r="AJ311" s="60"/>
      <c r="AK311" s="60">
        <v>498170756</v>
      </c>
      <c r="AL311" s="60"/>
      <c r="AM311" s="60"/>
      <c r="AN311" s="60"/>
      <c r="AO311" s="63"/>
      <c r="AP311" s="62">
        <v>960011987</v>
      </c>
      <c r="AQ311" s="60"/>
      <c r="AR311" s="60">
        <v>519093928</v>
      </c>
      <c r="AS311" s="60"/>
      <c r="AT311" s="60"/>
      <c r="AU311" s="60"/>
      <c r="AV311" s="64"/>
      <c r="AW311" s="55">
        <f t="shared" si="22"/>
        <v>240000000</v>
      </c>
      <c r="AX311" s="55">
        <f t="shared" si="23"/>
        <v>1026181873</v>
      </c>
      <c r="AY311" s="55">
        <f t="shared" si="24"/>
        <v>1420836726</v>
      </c>
      <c r="AZ311" s="55">
        <f t="shared" si="25"/>
        <v>1479105915</v>
      </c>
      <c r="BA311" s="55">
        <f t="shared" si="26"/>
        <v>4166124514</v>
      </c>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c r="CP311" s="4"/>
      <c r="CQ311" s="4"/>
      <c r="CR311" s="4"/>
      <c r="CS311" s="4"/>
      <c r="CT311" s="4"/>
      <c r="CU311" s="4"/>
      <c r="CV311" s="4"/>
      <c r="CW311" s="4"/>
      <c r="CX311" s="4"/>
      <c r="CY311" s="4"/>
      <c r="CZ311" s="4"/>
      <c r="DA311" s="4"/>
      <c r="DB311" s="4"/>
      <c r="DC311" s="4"/>
      <c r="DD311" s="4"/>
      <c r="DE311" s="4"/>
      <c r="DF311" s="4"/>
      <c r="DG311" s="4"/>
      <c r="DH311" s="4"/>
      <c r="DI311" s="4"/>
      <c r="DJ311" s="4"/>
      <c r="DK311" s="4"/>
      <c r="DL311" s="4"/>
      <c r="DM311" s="4"/>
      <c r="DN311" s="4"/>
      <c r="DO311" s="4"/>
      <c r="DP311" s="4"/>
      <c r="DQ311" s="4"/>
      <c r="DR311" s="4"/>
      <c r="DS311" s="4"/>
      <c r="DT311" s="4"/>
      <c r="DU311" s="4"/>
      <c r="DV311" s="4"/>
      <c r="DW311" s="4"/>
      <c r="DX311" s="4"/>
      <c r="DY311" s="4"/>
      <c r="DZ311" s="4"/>
      <c r="EA311" s="4"/>
      <c r="EB311" s="4"/>
      <c r="EC311" s="4"/>
    </row>
    <row r="312" spans="1:133" s="13" customFormat="1" ht="110.25" x14ac:dyDescent="0.25">
      <c r="A312" s="130" t="s">
        <v>533</v>
      </c>
      <c r="B312" s="132" t="s">
        <v>625</v>
      </c>
      <c r="C312" s="119" t="s">
        <v>638</v>
      </c>
      <c r="D312" s="119" t="s">
        <v>639</v>
      </c>
      <c r="E312" s="119">
        <v>4.3</v>
      </c>
      <c r="F312" s="119">
        <v>6</v>
      </c>
      <c r="G312" s="110" t="s">
        <v>644</v>
      </c>
      <c r="H312" s="110" t="s">
        <v>1445</v>
      </c>
      <c r="I312" s="103" t="s">
        <v>646</v>
      </c>
      <c r="J312" s="103" t="s">
        <v>1682</v>
      </c>
      <c r="K312" s="178">
        <v>0</v>
      </c>
      <c r="L312" s="179">
        <v>100</v>
      </c>
      <c r="M312" s="103" t="s">
        <v>1141</v>
      </c>
      <c r="N312" s="56" t="s">
        <v>164</v>
      </c>
      <c r="O312" s="54" t="s">
        <v>630</v>
      </c>
      <c r="P312" s="58" t="s">
        <v>39</v>
      </c>
      <c r="Q312" s="171" t="s">
        <v>1680</v>
      </c>
      <c r="R312" s="182">
        <v>0</v>
      </c>
      <c r="S312" s="178">
        <v>30</v>
      </c>
      <c r="T312" s="178">
        <v>30</v>
      </c>
      <c r="U312" s="183">
        <v>40</v>
      </c>
      <c r="V312" s="59"/>
      <c r="W312" s="60"/>
      <c r="X312" s="60"/>
      <c r="Y312" s="60"/>
      <c r="Z312" s="60"/>
      <c r="AA312" s="61"/>
      <c r="AB312" s="62">
        <v>100000000</v>
      </c>
      <c r="AC312" s="60"/>
      <c r="AD312" s="60"/>
      <c r="AE312" s="60"/>
      <c r="AF312" s="60"/>
      <c r="AG312" s="60"/>
      <c r="AH312" s="63"/>
      <c r="AI312" s="62">
        <v>161849357</v>
      </c>
      <c r="AJ312" s="60"/>
      <c r="AK312" s="60"/>
      <c r="AL312" s="60"/>
      <c r="AM312" s="60"/>
      <c r="AN312" s="60"/>
      <c r="AO312" s="63"/>
      <c r="AP312" s="62">
        <v>168400404</v>
      </c>
      <c r="AQ312" s="60"/>
      <c r="AR312" s="60"/>
      <c r="AS312" s="60"/>
      <c r="AT312" s="60"/>
      <c r="AU312" s="60"/>
      <c r="AV312" s="64"/>
      <c r="AW312" s="55">
        <f t="shared" si="22"/>
        <v>0</v>
      </c>
      <c r="AX312" s="55">
        <f t="shared" si="23"/>
        <v>100000000</v>
      </c>
      <c r="AY312" s="55">
        <f t="shared" si="24"/>
        <v>161849357</v>
      </c>
      <c r="AZ312" s="55">
        <f t="shared" si="25"/>
        <v>168400404</v>
      </c>
      <c r="BA312" s="55">
        <f t="shared" si="26"/>
        <v>430249761</v>
      </c>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c r="CP312" s="4"/>
      <c r="CQ312" s="4"/>
      <c r="CR312" s="4"/>
      <c r="CS312" s="4"/>
      <c r="CT312" s="4"/>
      <c r="CU312" s="4"/>
      <c r="CV312" s="4"/>
      <c r="CW312" s="4"/>
      <c r="CX312" s="4"/>
      <c r="CY312" s="4"/>
      <c r="CZ312" s="4"/>
      <c r="DA312" s="4"/>
      <c r="DB312" s="4"/>
      <c r="DC312" s="4"/>
      <c r="DD312" s="4"/>
      <c r="DE312" s="4"/>
      <c r="DF312" s="4"/>
      <c r="DG312" s="4"/>
      <c r="DH312" s="4"/>
      <c r="DI312" s="4"/>
      <c r="DJ312" s="4"/>
      <c r="DK312" s="4"/>
      <c r="DL312" s="4"/>
      <c r="DM312" s="4"/>
      <c r="DN312" s="4"/>
      <c r="DO312" s="4"/>
      <c r="DP312" s="4"/>
      <c r="DQ312" s="4"/>
      <c r="DR312" s="4"/>
      <c r="DS312" s="4"/>
      <c r="DT312" s="4"/>
      <c r="DU312" s="4"/>
      <c r="DV312" s="4"/>
      <c r="DW312" s="4"/>
      <c r="DX312" s="4"/>
      <c r="DY312" s="4"/>
      <c r="DZ312" s="4"/>
      <c r="EA312" s="4"/>
      <c r="EB312" s="4"/>
      <c r="EC312" s="4"/>
    </row>
    <row r="313" spans="1:133" s="13" customFormat="1" ht="110.25" x14ac:dyDescent="0.25">
      <c r="A313" s="130" t="s">
        <v>533</v>
      </c>
      <c r="B313" s="132" t="s">
        <v>625</v>
      </c>
      <c r="C313" s="119" t="s">
        <v>638</v>
      </c>
      <c r="D313" s="119" t="s">
        <v>639</v>
      </c>
      <c r="E313" s="119">
        <v>4.3</v>
      </c>
      <c r="F313" s="119">
        <v>6</v>
      </c>
      <c r="G313" s="110" t="s">
        <v>644</v>
      </c>
      <c r="H313" s="110" t="s">
        <v>1446</v>
      </c>
      <c r="I313" s="103" t="s">
        <v>647</v>
      </c>
      <c r="J313" s="103" t="s">
        <v>1683</v>
      </c>
      <c r="K313" s="56">
        <v>0</v>
      </c>
      <c r="L313" s="86">
        <v>50</v>
      </c>
      <c r="M313" s="103" t="s">
        <v>1141</v>
      </c>
      <c r="N313" s="56" t="s">
        <v>164</v>
      </c>
      <c r="O313" s="54" t="s">
        <v>630</v>
      </c>
      <c r="P313" s="58" t="s">
        <v>39</v>
      </c>
      <c r="Q313" s="171" t="s">
        <v>1680</v>
      </c>
      <c r="R313" s="182">
        <v>0</v>
      </c>
      <c r="S313" s="178">
        <v>10</v>
      </c>
      <c r="T313" s="178">
        <v>20</v>
      </c>
      <c r="U313" s="183">
        <v>20</v>
      </c>
      <c r="V313" s="59"/>
      <c r="W313" s="60"/>
      <c r="X313" s="60"/>
      <c r="Y313" s="60"/>
      <c r="Z313" s="60"/>
      <c r="AA313" s="61"/>
      <c r="AB313" s="62">
        <v>400000000</v>
      </c>
      <c r="AC313" s="60"/>
      <c r="AD313" s="60"/>
      <c r="AE313" s="60"/>
      <c r="AF313" s="60"/>
      <c r="AG313" s="60"/>
      <c r="AH313" s="63"/>
      <c r="AI313" s="62">
        <v>647397427</v>
      </c>
      <c r="AJ313" s="60"/>
      <c r="AK313" s="60"/>
      <c r="AL313" s="60"/>
      <c r="AM313" s="60"/>
      <c r="AN313" s="60"/>
      <c r="AO313" s="63"/>
      <c r="AP313" s="62">
        <v>673601618</v>
      </c>
      <c r="AQ313" s="60"/>
      <c r="AR313" s="60"/>
      <c r="AS313" s="60"/>
      <c r="AT313" s="60"/>
      <c r="AU313" s="60"/>
      <c r="AV313" s="64"/>
      <c r="AW313" s="55">
        <f t="shared" si="22"/>
        <v>0</v>
      </c>
      <c r="AX313" s="55">
        <f t="shared" si="23"/>
        <v>400000000</v>
      </c>
      <c r="AY313" s="55">
        <f t="shared" si="24"/>
        <v>647397427</v>
      </c>
      <c r="AZ313" s="55">
        <f t="shared" si="25"/>
        <v>673601618</v>
      </c>
      <c r="BA313" s="55">
        <f t="shared" si="26"/>
        <v>1720999045</v>
      </c>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c r="CP313" s="4"/>
      <c r="CQ313" s="4"/>
      <c r="CR313" s="4"/>
      <c r="CS313" s="4"/>
      <c r="CT313" s="4"/>
      <c r="CU313" s="4"/>
      <c r="CV313" s="4"/>
      <c r="CW313" s="4"/>
      <c r="CX313" s="4"/>
      <c r="CY313" s="4"/>
      <c r="CZ313" s="4"/>
      <c r="DA313" s="4"/>
      <c r="DB313" s="4"/>
      <c r="DC313" s="4"/>
      <c r="DD313" s="4"/>
      <c r="DE313" s="4"/>
      <c r="DF313" s="4"/>
      <c r="DG313" s="4"/>
      <c r="DH313" s="4"/>
      <c r="DI313" s="4"/>
      <c r="DJ313" s="4"/>
      <c r="DK313" s="4"/>
      <c r="DL313" s="4"/>
      <c r="DM313" s="4"/>
      <c r="DN313" s="4"/>
      <c r="DO313" s="4"/>
      <c r="DP313" s="4"/>
      <c r="DQ313" s="4"/>
      <c r="DR313" s="4"/>
      <c r="DS313" s="4"/>
      <c r="DT313" s="4"/>
      <c r="DU313" s="4"/>
      <c r="DV313" s="4"/>
      <c r="DW313" s="4"/>
      <c r="DX313" s="4"/>
      <c r="DY313" s="4"/>
      <c r="DZ313" s="4"/>
      <c r="EA313" s="4"/>
      <c r="EB313" s="4"/>
      <c r="EC313" s="4"/>
    </row>
    <row r="314" spans="1:133" s="13" customFormat="1" ht="173.25" x14ac:dyDescent="0.25">
      <c r="A314" s="130" t="s">
        <v>533</v>
      </c>
      <c r="B314" s="132" t="s">
        <v>625</v>
      </c>
      <c r="C314" s="119" t="s">
        <v>638</v>
      </c>
      <c r="D314" s="119" t="s">
        <v>639</v>
      </c>
      <c r="E314" s="119">
        <v>4.3</v>
      </c>
      <c r="F314" s="119">
        <v>6</v>
      </c>
      <c r="G314" s="110" t="s">
        <v>644</v>
      </c>
      <c r="H314" s="110" t="s">
        <v>1146</v>
      </c>
      <c r="I314" s="109" t="s">
        <v>40</v>
      </c>
      <c r="J314" s="109" t="s">
        <v>1682</v>
      </c>
      <c r="K314" s="69" t="s">
        <v>41</v>
      </c>
      <c r="L314" s="179">
        <v>100</v>
      </c>
      <c r="M314" s="103" t="s">
        <v>1141</v>
      </c>
      <c r="N314" s="56" t="s">
        <v>164</v>
      </c>
      <c r="O314" s="54" t="s">
        <v>630</v>
      </c>
      <c r="P314" s="58" t="s">
        <v>254</v>
      </c>
      <c r="Q314" s="54" t="s">
        <v>1679</v>
      </c>
      <c r="R314" s="182">
        <v>100</v>
      </c>
      <c r="S314" s="178">
        <v>100</v>
      </c>
      <c r="T314" s="178">
        <v>100</v>
      </c>
      <c r="U314" s="183">
        <v>100</v>
      </c>
      <c r="V314" s="59">
        <v>10000000</v>
      </c>
      <c r="W314" s="60"/>
      <c r="X314" s="60"/>
      <c r="Y314" s="60"/>
      <c r="Z314" s="60"/>
      <c r="AA314" s="61"/>
      <c r="AB314" s="62">
        <v>30000000</v>
      </c>
      <c r="AC314" s="60"/>
      <c r="AD314" s="60"/>
      <c r="AE314" s="60"/>
      <c r="AF314" s="60"/>
      <c r="AG314" s="60"/>
      <c r="AH314" s="63"/>
      <c r="AI314" s="62">
        <v>48608223</v>
      </c>
      <c r="AJ314" s="60"/>
      <c r="AK314" s="60"/>
      <c r="AL314" s="60"/>
      <c r="AM314" s="60"/>
      <c r="AN314" s="60"/>
      <c r="AO314" s="63"/>
      <c r="AP314" s="62">
        <v>50575699</v>
      </c>
      <c r="AQ314" s="60"/>
      <c r="AR314" s="60"/>
      <c r="AS314" s="60"/>
      <c r="AT314" s="60"/>
      <c r="AU314" s="60"/>
      <c r="AV314" s="64"/>
      <c r="AW314" s="55">
        <f t="shared" si="22"/>
        <v>10000000</v>
      </c>
      <c r="AX314" s="55">
        <f t="shared" si="23"/>
        <v>30000000</v>
      </c>
      <c r="AY314" s="55">
        <f t="shared" si="24"/>
        <v>48608223</v>
      </c>
      <c r="AZ314" s="55">
        <f t="shared" si="25"/>
        <v>50575699</v>
      </c>
      <c r="BA314" s="55">
        <f t="shared" si="26"/>
        <v>139183922</v>
      </c>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row>
    <row r="315" spans="1:133" s="13" customFormat="1" ht="110.25" x14ac:dyDescent="0.25">
      <c r="A315" s="130" t="s">
        <v>533</v>
      </c>
      <c r="B315" s="132" t="s">
        <v>625</v>
      </c>
      <c r="C315" s="56" t="s">
        <v>648</v>
      </c>
      <c r="D315" s="110" t="s">
        <v>649</v>
      </c>
      <c r="E315" s="121">
        <v>0.66</v>
      </c>
      <c r="F315" s="121">
        <v>0.75</v>
      </c>
      <c r="G315" s="110" t="s">
        <v>650</v>
      </c>
      <c r="H315" s="110" t="s">
        <v>1447</v>
      </c>
      <c r="I315" s="103" t="s">
        <v>651</v>
      </c>
      <c r="J315" s="103" t="s">
        <v>1683</v>
      </c>
      <c r="K315" s="56">
        <v>1204</v>
      </c>
      <c r="L315" s="86">
        <v>1400</v>
      </c>
      <c r="M315" s="103" t="s">
        <v>1141</v>
      </c>
      <c r="N315" s="56" t="s">
        <v>164</v>
      </c>
      <c r="O315" s="54" t="s">
        <v>630</v>
      </c>
      <c r="P315" s="58" t="s">
        <v>39</v>
      </c>
      <c r="Q315" s="171" t="s">
        <v>1680</v>
      </c>
      <c r="R315" s="184">
        <v>200</v>
      </c>
      <c r="S315" s="185">
        <v>300</v>
      </c>
      <c r="T315" s="185">
        <v>400</v>
      </c>
      <c r="U315" s="186">
        <v>500</v>
      </c>
      <c r="V315" s="59">
        <v>2744510800.5</v>
      </c>
      <c r="W315" s="60"/>
      <c r="X315" s="60"/>
      <c r="Y315" s="60"/>
      <c r="Z315" s="60"/>
      <c r="AA315" s="61"/>
      <c r="AB315" s="62">
        <v>5019771672</v>
      </c>
      <c r="AC315" s="60"/>
      <c r="AD315" s="60">
        <v>956181873</v>
      </c>
      <c r="AE315" s="60"/>
      <c r="AF315" s="60"/>
      <c r="AG315" s="60"/>
      <c r="AH315" s="63"/>
      <c r="AI315" s="62">
        <f>3770282978-AI316-AI317</f>
        <v>3502782978</v>
      </c>
      <c r="AJ315" s="60"/>
      <c r="AK315" s="60">
        <v>664227674</v>
      </c>
      <c r="AL315" s="60"/>
      <c r="AM315" s="60"/>
      <c r="AN315" s="60"/>
      <c r="AO315" s="63"/>
      <c r="AP315" s="62">
        <v>1606162854</v>
      </c>
      <c r="AQ315" s="60"/>
      <c r="AR315" s="60">
        <v>692125237</v>
      </c>
      <c r="AS315" s="60"/>
      <c r="AT315" s="60"/>
      <c r="AU315" s="60"/>
      <c r="AV315" s="64"/>
      <c r="AW315" s="55">
        <f t="shared" si="22"/>
        <v>2744510800.5</v>
      </c>
      <c r="AX315" s="55">
        <f t="shared" si="23"/>
        <v>5975953545</v>
      </c>
      <c r="AY315" s="55">
        <f t="shared" si="24"/>
        <v>4167010652</v>
      </c>
      <c r="AZ315" s="55">
        <f t="shared" si="25"/>
        <v>2298288091</v>
      </c>
      <c r="BA315" s="55">
        <f t="shared" si="26"/>
        <v>15185763088.5</v>
      </c>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c r="CP315" s="4"/>
      <c r="CQ315" s="4"/>
      <c r="CR315" s="4"/>
      <c r="CS315" s="4"/>
      <c r="CT315" s="4"/>
      <c r="CU315" s="4"/>
      <c r="CV315" s="4"/>
      <c r="CW315" s="4"/>
      <c r="CX315" s="4"/>
      <c r="CY315" s="4"/>
      <c r="CZ315" s="4"/>
      <c r="DA315" s="4"/>
      <c r="DB315" s="4"/>
      <c r="DC315" s="4"/>
      <c r="DD315" s="4"/>
      <c r="DE315" s="4"/>
      <c r="DF315" s="4"/>
      <c r="DG315" s="4"/>
      <c r="DH315" s="4"/>
      <c r="DI315" s="4"/>
      <c r="DJ315" s="4"/>
      <c r="DK315" s="4"/>
      <c r="DL315" s="4"/>
      <c r="DM315" s="4"/>
      <c r="DN315" s="4"/>
      <c r="DO315" s="4"/>
      <c r="DP315" s="4"/>
      <c r="DQ315" s="4"/>
      <c r="DR315" s="4"/>
      <c r="DS315" s="4"/>
      <c r="DT315" s="4"/>
      <c r="DU315" s="4"/>
      <c r="DV315" s="4"/>
      <c r="DW315" s="4"/>
      <c r="DX315" s="4"/>
      <c r="DY315" s="4"/>
      <c r="DZ315" s="4"/>
      <c r="EA315" s="4"/>
      <c r="EB315" s="4"/>
      <c r="EC315" s="4"/>
    </row>
    <row r="316" spans="1:133" s="13" customFormat="1" ht="110.25" x14ac:dyDescent="0.25">
      <c r="A316" s="130" t="s">
        <v>533</v>
      </c>
      <c r="B316" s="132" t="s">
        <v>625</v>
      </c>
      <c r="C316" s="56" t="s">
        <v>648</v>
      </c>
      <c r="D316" s="110" t="s">
        <v>649</v>
      </c>
      <c r="E316" s="121">
        <v>0.66</v>
      </c>
      <c r="F316" s="121">
        <v>0.75</v>
      </c>
      <c r="G316" s="110" t="s">
        <v>650</v>
      </c>
      <c r="H316" s="110" t="s">
        <v>1448</v>
      </c>
      <c r="I316" s="103" t="s">
        <v>652</v>
      </c>
      <c r="J316" s="103" t="s">
        <v>1683</v>
      </c>
      <c r="K316" s="56">
        <v>800000</v>
      </c>
      <c r="L316" s="86">
        <v>800000</v>
      </c>
      <c r="M316" s="103" t="s">
        <v>1141</v>
      </c>
      <c r="N316" s="56" t="s">
        <v>164</v>
      </c>
      <c r="O316" s="54" t="s">
        <v>630</v>
      </c>
      <c r="P316" s="58" t="s">
        <v>42</v>
      </c>
      <c r="Q316" s="54" t="s">
        <v>1679</v>
      </c>
      <c r="R316" s="182">
        <v>800000</v>
      </c>
      <c r="S316" s="178">
        <v>800000</v>
      </c>
      <c r="T316" s="178">
        <v>800000</v>
      </c>
      <c r="U316" s="183">
        <v>800000</v>
      </c>
      <c r="V316" s="59">
        <v>2744510800.5</v>
      </c>
      <c r="W316" s="60"/>
      <c r="X316" s="60"/>
      <c r="Y316" s="60"/>
      <c r="Z316" s="60"/>
      <c r="AA316" s="61"/>
      <c r="AB316" s="62">
        <v>200000000</v>
      </c>
      <c r="AC316" s="60"/>
      <c r="AD316" s="60"/>
      <c r="AE316" s="60"/>
      <c r="AF316" s="60"/>
      <c r="AG316" s="60"/>
      <c r="AH316" s="63"/>
      <c r="AI316" s="62">
        <v>214000000</v>
      </c>
      <c r="AJ316" s="60"/>
      <c r="AK316" s="60"/>
      <c r="AL316" s="60"/>
      <c r="AM316" s="60"/>
      <c r="AN316" s="60"/>
      <c r="AO316" s="63"/>
      <c r="AP316" s="62">
        <v>228980000</v>
      </c>
      <c r="AQ316" s="60"/>
      <c r="AR316" s="60"/>
      <c r="AS316" s="60"/>
      <c r="AT316" s="60"/>
      <c r="AU316" s="60"/>
      <c r="AV316" s="64"/>
      <c r="AW316" s="55">
        <f t="shared" si="22"/>
        <v>2744510800.5</v>
      </c>
      <c r="AX316" s="55">
        <f t="shared" si="23"/>
        <v>200000000</v>
      </c>
      <c r="AY316" s="55">
        <f t="shared" si="24"/>
        <v>214000000</v>
      </c>
      <c r="AZ316" s="55">
        <f t="shared" si="25"/>
        <v>228980000</v>
      </c>
      <c r="BA316" s="55">
        <f t="shared" si="26"/>
        <v>3387490800.5</v>
      </c>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row>
    <row r="317" spans="1:133" s="13" customFormat="1" ht="173.25" x14ac:dyDescent="0.25">
      <c r="A317" s="130" t="s">
        <v>533</v>
      </c>
      <c r="B317" s="132" t="s">
        <v>625</v>
      </c>
      <c r="C317" s="56" t="s">
        <v>648</v>
      </c>
      <c r="D317" s="110" t="s">
        <v>649</v>
      </c>
      <c r="E317" s="121">
        <v>0.66</v>
      </c>
      <c r="F317" s="121">
        <v>0.75</v>
      </c>
      <c r="G317" s="110" t="s">
        <v>650</v>
      </c>
      <c r="H317" s="110" t="s">
        <v>1146</v>
      </c>
      <c r="I317" s="109" t="s">
        <v>40</v>
      </c>
      <c r="J317" s="109" t="s">
        <v>1682</v>
      </c>
      <c r="K317" s="69" t="s">
        <v>41</v>
      </c>
      <c r="L317" s="179">
        <v>100</v>
      </c>
      <c r="M317" s="103" t="s">
        <v>1141</v>
      </c>
      <c r="N317" s="56" t="s">
        <v>164</v>
      </c>
      <c r="O317" s="54" t="s">
        <v>630</v>
      </c>
      <c r="P317" s="58" t="s">
        <v>42</v>
      </c>
      <c r="Q317" s="54" t="s">
        <v>1679</v>
      </c>
      <c r="R317" s="182">
        <v>100</v>
      </c>
      <c r="S317" s="178">
        <v>100</v>
      </c>
      <c r="T317" s="178">
        <v>100</v>
      </c>
      <c r="U317" s="183">
        <v>100</v>
      </c>
      <c r="V317" s="59">
        <v>2593800650</v>
      </c>
      <c r="W317" s="60"/>
      <c r="X317" s="60"/>
      <c r="Y317" s="60"/>
      <c r="Z317" s="60"/>
      <c r="AA317" s="61"/>
      <c r="AB317" s="62">
        <v>50000000</v>
      </c>
      <c r="AC317" s="60"/>
      <c r="AD317" s="60"/>
      <c r="AE317" s="60"/>
      <c r="AF317" s="60"/>
      <c r="AG317" s="60"/>
      <c r="AH317" s="63"/>
      <c r="AI317" s="62">
        <v>53500000</v>
      </c>
      <c r="AJ317" s="60"/>
      <c r="AK317" s="60"/>
      <c r="AL317" s="60"/>
      <c r="AM317" s="60"/>
      <c r="AN317" s="60"/>
      <c r="AO317" s="63"/>
      <c r="AP317" s="62">
        <v>57245000</v>
      </c>
      <c r="AQ317" s="60"/>
      <c r="AR317" s="60"/>
      <c r="AS317" s="60"/>
      <c r="AT317" s="60"/>
      <c r="AU317" s="60"/>
      <c r="AV317" s="64"/>
      <c r="AW317" s="55">
        <f t="shared" si="22"/>
        <v>2593800650</v>
      </c>
      <c r="AX317" s="55">
        <f t="shared" si="23"/>
        <v>50000000</v>
      </c>
      <c r="AY317" s="55">
        <f t="shared" si="24"/>
        <v>53500000</v>
      </c>
      <c r="AZ317" s="55">
        <f t="shared" si="25"/>
        <v>57245000</v>
      </c>
      <c r="BA317" s="55">
        <f t="shared" si="26"/>
        <v>2754545650</v>
      </c>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row>
    <row r="318" spans="1:133" s="13" customFormat="1" ht="157.5" x14ac:dyDescent="0.25">
      <c r="A318" s="130" t="s">
        <v>533</v>
      </c>
      <c r="B318" s="132" t="s">
        <v>625</v>
      </c>
      <c r="C318" s="56" t="s">
        <v>648</v>
      </c>
      <c r="D318" s="110" t="s">
        <v>649</v>
      </c>
      <c r="E318" s="121">
        <v>0.66</v>
      </c>
      <c r="F318" s="121">
        <v>0.75</v>
      </c>
      <c r="G318" s="106" t="s">
        <v>653</v>
      </c>
      <c r="H318" s="106" t="s">
        <v>1449</v>
      </c>
      <c r="I318" s="103" t="s">
        <v>654</v>
      </c>
      <c r="J318" s="103" t="s">
        <v>1683</v>
      </c>
      <c r="K318" s="56">
        <v>0</v>
      </c>
      <c r="L318" s="86">
        <v>20</v>
      </c>
      <c r="M318" s="103" t="s">
        <v>1141</v>
      </c>
      <c r="N318" s="56" t="s">
        <v>164</v>
      </c>
      <c r="O318" s="54" t="s">
        <v>630</v>
      </c>
      <c r="P318" s="58" t="s">
        <v>39</v>
      </c>
      <c r="Q318" s="171" t="s">
        <v>1680</v>
      </c>
      <c r="R318" s="182">
        <v>0</v>
      </c>
      <c r="S318" s="178">
        <v>4</v>
      </c>
      <c r="T318" s="178">
        <v>8</v>
      </c>
      <c r="U318" s="183">
        <v>8</v>
      </c>
      <c r="V318" s="59"/>
      <c r="W318" s="60"/>
      <c r="X318" s="60"/>
      <c r="Y318" s="60"/>
      <c r="Z318" s="60"/>
      <c r="AA318" s="61"/>
      <c r="AB318" s="62">
        <v>200000000</v>
      </c>
      <c r="AC318" s="60"/>
      <c r="AD318" s="60"/>
      <c r="AE318" s="60"/>
      <c r="AF318" s="60"/>
      <c r="AG318" s="60"/>
      <c r="AH318" s="63"/>
      <c r="AI318" s="62">
        <v>400000000</v>
      </c>
      <c r="AJ318" s="60"/>
      <c r="AK318" s="60">
        <v>332113837</v>
      </c>
      <c r="AL318" s="60"/>
      <c r="AM318" s="60"/>
      <c r="AN318" s="60"/>
      <c r="AO318" s="63"/>
      <c r="AP318" s="62">
        <v>428000000</v>
      </c>
      <c r="AQ318" s="60"/>
      <c r="AR318" s="60">
        <v>346062618</v>
      </c>
      <c r="AS318" s="60"/>
      <c r="AT318" s="60"/>
      <c r="AU318" s="60"/>
      <c r="AV318" s="64"/>
      <c r="AW318" s="55">
        <f t="shared" si="22"/>
        <v>0</v>
      </c>
      <c r="AX318" s="55">
        <f t="shared" si="23"/>
        <v>200000000</v>
      </c>
      <c r="AY318" s="55">
        <f t="shared" si="24"/>
        <v>732113837</v>
      </c>
      <c r="AZ318" s="55">
        <f t="shared" si="25"/>
        <v>774062618</v>
      </c>
      <c r="BA318" s="55">
        <f t="shared" si="26"/>
        <v>1706176455</v>
      </c>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c r="BY318" s="32"/>
      <c r="BZ318" s="32"/>
      <c r="CA318" s="32"/>
      <c r="CB318" s="32"/>
      <c r="CC318" s="32"/>
      <c r="CD318" s="32"/>
      <c r="CE318" s="32"/>
      <c r="CF318" s="32"/>
      <c r="CG318" s="32"/>
      <c r="CH318" s="32"/>
      <c r="CI318" s="32"/>
      <c r="CJ318" s="32"/>
      <c r="CK318" s="32"/>
      <c r="CL318" s="32"/>
      <c r="CM318" s="32"/>
      <c r="CN318" s="32"/>
      <c r="CO318" s="32"/>
      <c r="CP318" s="32"/>
      <c r="CQ318" s="32"/>
      <c r="CR318" s="32"/>
      <c r="CS318" s="32"/>
      <c r="CT318" s="32"/>
      <c r="CU318" s="32"/>
      <c r="CV318" s="32"/>
      <c r="CW318" s="32"/>
      <c r="CX318" s="32"/>
      <c r="CY318" s="32"/>
      <c r="CZ318" s="32"/>
      <c r="DA318" s="32"/>
      <c r="DB318" s="32"/>
      <c r="DC318" s="32"/>
      <c r="DD318" s="32"/>
      <c r="DE318" s="32"/>
      <c r="DF318" s="32"/>
      <c r="DG318" s="32"/>
      <c r="DH318" s="32"/>
      <c r="DI318" s="32"/>
      <c r="DJ318" s="32"/>
      <c r="DK318" s="32"/>
      <c r="DL318" s="32"/>
      <c r="DM318" s="32"/>
      <c r="DN318" s="32"/>
      <c r="DO318" s="32"/>
      <c r="DP318" s="32"/>
      <c r="DQ318" s="32"/>
      <c r="DR318" s="32"/>
      <c r="DS318" s="32"/>
      <c r="DT318" s="32"/>
      <c r="DU318" s="32"/>
      <c r="DV318" s="32"/>
      <c r="DW318" s="32"/>
      <c r="DX318" s="32"/>
      <c r="DY318" s="32"/>
      <c r="DZ318" s="32"/>
      <c r="EA318" s="32"/>
      <c r="EB318" s="32"/>
      <c r="EC318" s="32"/>
    </row>
    <row r="319" spans="1:133" s="13" customFormat="1" ht="94.5" x14ac:dyDescent="0.25">
      <c r="A319" s="130" t="s">
        <v>533</v>
      </c>
      <c r="B319" s="132" t="s">
        <v>625</v>
      </c>
      <c r="C319" s="56" t="s">
        <v>648</v>
      </c>
      <c r="D319" s="110" t="s">
        <v>649</v>
      </c>
      <c r="E319" s="121">
        <v>0.66</v>
      </c>
      <c r="F319" s="121">
        <v>0.75</v>
      </c>
      <c r="G319" s="106" t="s">
        <v>655</v>
      </c>
      <c r="H319" s="106" t="s">
        <v>1450</v>
      </c>
      <c r="I319" s="103" t="s">
        <v>656</v>
      </c>
      <c r="J319" s="103" t="s">
        <v>1683</v>
      </c>
      <c r="K319" s="56">
        <v>86</v>
      </c>
      <c r="L319" s="86">
        <v>200</v>
      </c>
      <c r="M319" s="103" t="s">
        <v>1141</v>
      </c>
      <c r="N319" s="56" t="s">
        <v>164</v>
      </c>
      <c r="O319" s="54" t="s">
        <v>630</v>
      </c>
      <c r="P319" s="58" t="s">
        <v>39</v>
      </c>
      <c r="Q319" s="171" t="s">
        <v>1680</v>
      </c>
      <c r="R319" s="184">
        <v>40</v>
      </c>
      <c r="S319" s="185">
        <v>55</v>
      </c>
      <c r="T319" s="185">
        <v>55</v>
      </c>
      <c r="U319" s="186">
        <v>50</v>
      </c>
      <c r="V319" s="59">
        <v>8981941007</v>
      </c>
      <c r="W319" s="60"/>
      <c r="X319" s="60">
        <v>390000000</v>
      </c>
      <c r="Y319" s="60"/>
      <c r="Z319" s="60"/>
      <c r="AA319" s="61"/>
      <c r="AB319" s="62"/>
      <c r="AC319" s="60"/>
      <c r="AD319" s="60">
        <f>+X319-X320</f>
        <v>390000000</v>
      </c>
      <c r="AE319" s="60"/>
      <c r="AF319" s="60"/>
      <c r="AG319" s="60"/>
      <c r="AH319" s="63"/>
      <c r="AI319" s="62">
        <v>1085141489</v>
      </c>
      <c r="AJ319" s="60"/>
      <c r="AK319" s="60">
        <v>332113837</v>
      </c>
      <c r="AL319" s="60"/>
      <c r="AM319" s="60"/>
      <c r="AN319" s="60"/>
      <c r="AO319" s="63"/>
      <c r="AP319" s="62">
        <v>1160193927</v>
      </c>
      <c r="AQ319" s="60"/>
      <c r="AR319" s="60">
        <v>346062618</v>
      </c>
      <c r="AS319" s="60"/>
      <c r="AT319" s="60"/>
      <c r="AU319" s="60"/>
      <c r="AV319" s="64"/>
      <c r="AW319" s="55">
        <f t="shared" si="22"/>
        <v>9371941007</v>
      </c>
      <c r="AX319" s="55">
        <f t="shared" si="23"/>
        <v>390000000</v>
      </c>
      <c r="AY319" s="55">
        <f t="shared" si="24"/>
        <v>1417255326</v>
      </c>
      <c r="AZ319" s="55">
        <f t="shared" si="25"/>
        <v>1506256545</v>
      </c>
      <c r="BA319" s="55">
        <f t="shared" si="26"/>
        <v>12685452878</v>
      </c>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c r="BY319" s="32"/>
      <c r="BZ319" s="32"/>
      <c r="CA319" s="32"/>
      <c r="CB319" s="32"/>
      <c r="CC319" s="32"/>
      <c r="CD319" s="32"/>
      <c r="CE319" s="32"/>
      <c r="CF319" s="32"/>
      <c r="CG319" s="32"/>
      <c r="CH319" s="32"/>
      <c r="CI319" s="32"/>
      <c r="CJ319" s="32"/>
      <c r="CK319" s="32"/>
      <c r="CL319" s="32"/>
      <c r="CM319" s="32"/>
      <c r="CN319" s="32"/>
      <c r="CO319" s="32"/>
      <c r="CP319" s="32"/>
      <c r="CQ319" s="32"/>
      <c r="CR319" s="32"/>
      <c r="CS319" s="32"/>
      <c r="CT319" s="32"/>
      <c r="CU319" s="32"/>
      <c r="CV319" s="32"/>
      <c r="CW319" s="32"/>
      <c r="CX319" s="32"/>
      <c r="CY319" s="32"/>
      <c r="CZ319" s="32"/>
      <c r="DA319" s="32"/>
      <c r="DB319" s="32"/>
      <c r="DC319" s="32"/>
      <c r="DD319" s="32"/>
      <c r="DE319" s="32"/>
      <c r="DF319" s="32"/>
      <c r="DG319" s="32"/>
      <c r="DH319" s="32"/>
      <c r="DI319" s="32"/>
      <c r="DJ319" s="32"/>
      <c r="DK319" s="32"/>
      <c r="DL319" s="32"/>
      <c r="DM319" s="32"/>
      <c r="DN319" s="32"/>
      <c r="DO319" s="32"/>
      <c r="DP319" s="32"/>
      <c r="DQ319" s="32"/>
      <c r="DR319" s="32"/>
      <c r="DS319" s="32"/>
      <c r="DT319" s="32"/>
      <c r="DU319" s="32"/>
      <c r="DV319" s="32"/>
      <c r="DW319" s="32"/>
      <c r="DX319" s="32"/>
      <c r="DY319" s="32"/>
      <c r="DZ319" s="32"/>
      <c r="EA319" s="32"/>
      <c r="EB319" s="32"/>
      <c r="EC319" s="32"/>
    </row>
    <row r="320" spans="1:133" s="13" customFormat="1" ht="94.5" x14ac:dyDescent="0.25">
      <c r="A320" s="130" t="s">
        <v>533</v>
      </c>
      <c r="B320" s="132" t="s">
        <v>625</v>
      </c>
      <c r="C320" s="118" t="s">
        <v>657</v>
      </c>
      <c r="D320" s="110" t="s">
        <v>649</v>
      </c>
      <c r="E320" s="121">
        <v>0.66</v>
      </c>
      <c r="F320" s="121">
        <v>0.75</v>
      </c>
      <c r="G320" s="138" t="s">
        <v>658</v>
      </c>
      <c r="H320" s="138" t="s">
        <v>1451</v>
      </c>
      <c r="I320" s="103" t="s">
        <v>659</v>
      </c>
      <c r="J320" s="103" t="s">
        <v>1682</v>
      </c>
      <c r="K320" s="178">
        <v>0</v>
      </c>
      <c r="L320" s="179">
        <v>100</v>
      </c>
      <c r="M320" s="103" t="s">
        <v>1141</v>
      </c>
      <c r="N320" s="56" t="s">
        <v>164</v>
      </c>
      <c r="O320" s="54" t="s">
        <v>630</v>
      </c>
      <c r="P320" s="58" t="s">
        <v>39</v>
      </c>
      <c r="Q320" s="171" t="s">
        <v>1680</v>
      </c>
      <c r="R320" s="182">
        <v>0</v>
      </c>
      <c r="S320" s="178">
        <v>30</v>
      </c>
      <c r="T320" s="178">
        <v>30</v>
      </c>
      <c r="U320" s="183">
        <v>40</v>
      </c>
      <c r="V320" s="59"/>
      <c r="W320" s="60"/>
      <c r="X320" s="60"/>
      <c r="Y320" s="60"/>
      <c r="Z320" s="60"/>
      <c r="AA320" s="61"/>
      <c r="AB320" s="62">
        <v>200000000</v>
      </c>
      <c r="AC320" s="60"/>
      <c r="AD320" s="60"/>
      <c r="AE320" s="60"/>
      <c r="AF320" s="60"/>
      <c r="AG320" s="60"/>
      <c r="AH320" s="63"/>
      <c r="AI320" s="62">
        <v>160500000</v>
      </c>
      <c r="AJ320" s="60"/>
      <c r="AK320" s="60"/>
      <c r="AL320" s="60"/>
      <c r="AM320" s="60"/>
      <c r="AN320" s="60"/>
      <c r="AO320" s="63"/>
      <c r="AP320" s="62">
        <v>100000000</v>
      </c>
      <c r="AQ320" s="60"/>
      <c r="AR320" s="60"/>
      <c r="AS320" s="60"/>
      <c r="AT320" s="60"/>
      <c r="AU320" s="60"/>
      <c r="AV320" s="64"/>
      <c r="AW320" s="55">
        <f t="shared" si="22"/>
        <v>0</v>
      </c>
      <c r="AX320" s="55">
        <f t="shared" si="23"/>
        <v>200000000</v>
      </c>
      <c r="AY320" s="55">
        <f t="shared" si="24"/>
        <v>160500000</v>
      </c>
      <c r="AZ320" s="55">
        <f t="shared" si="25"/>
        <v>100000000</v>
      </c>
      <c r="BA320" s="55">
        <f t="shared" si="26"/>
        <v>460500000</v>
      </c>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c r="CP320" s="4"/>
      <c r="CQ320" s="4"/>
      <c r="CR320" s="4"/>
      <c r="CS320" s="4"/>
      <c r="CT320" s="4"/>
      <c r="CU320" s="4"/>
      <c r="CV320" s="4"/>
      <c r="CW320" s="4"/>
      <c r="CX320" s="4"/>
      <c r="CY320" s="4"/>
      <c r="CZ320" s="4"/>
      <c r="DA320" s="4"/>
      <c r="DB320" s="4"/>
      <c r="DC320" s="4"/>
      <c r="DD320" s="4"/>
      <c r="DE320" s="4"/>
      <c r="DF320" s="4"/>
      <c r="DG320" s="4"/>
      <c r="DH320" s="4"/>
      <c r="DI320" s="4"/>
      <c r="DJ320" s="4"/>
      <c r="DK320" s="4"/>
      <c r="DL320" s="4"/>
      <c r="DM320" s="4"/>
      <c r="DN320" s="4"/>
      <c r="DO320" s="4"/>
      <c r="DP320" s="4"/>
      <c r="DQ320" s="4"/>
      <c r="DR320" s="4"/>
      <c r="DS320" s="4"/>
      <c r="DT320" s="4"/>
      <c r="DU320" s="4"/>
      <c r="DV320" s="4"/>
      <c r="DW320" s="4"/>
      <c r="DX320" s="4"/>
      <c r="DY320" s="4"/>
      <c r="DZ320" s="4"/>
      <c r="EA320" s="4"/>
      <c r="EB320" s="4"/>
      <c r="EC320" s="4"/>
    </row>
    <row r="321" spans="1:133" s="13" customFormat="1" ht="94.5" x14ac:dyDescent="0.25">
      <c r="A321" s="130" t="s">
        <v>533</v>
      </c>
      <c r="B321" s="132" t="s">
        <v>625</v>
      </c>
      <c r="C321" s="118" t="s">
        <v>657</v>
      </c>
      <c r="D321" s="110" t="s">
        <v>649</v>
      </c>
      <c r="E321" s="121">
        <v>0.66</v>
      </c>
      <c r="F321" s="121">
        <v>0.75</v>
      </c>
      <c r="G321" s="138" t="s">
        <v>658</v>
      </c>
      <c r="H321" s="138" t="s">
        <v>1452</v>
      </c>
      <c r="I321" s="103" t="s">
        <v>660</v>
      </c>
      <c r="J321" s="103" t="s">
        <v>1682</v>
      </c>
      <c r="K321" s="178">
        <v>0</v>
      </c>
      <c r="L321" s="179">
        <v>100</v>
      </c>
      <c r="M321" s="103" t="s">
        <v>1141</v>
      </c>
      <c r="N321" s="56" t="s">
        <v>164</v>
      </c>
      <c r="O321" s="54" t="s">
        <v>630</v>
      </c>
      <c r="P321" s="58" t="s">
        <v>39</v>
      </c>
      <c r="Q321" s="171" t="s">
        <v>1680</v>
      </c>
      <c r="R321" s="182">
        <v>0</v>
      </c>
      <c r="S321" s="178">
        <v>0</v>
      </c>
      <c r="T321" s="178">
        <v>50</v>
      </c>
      <c r="U321" s="183">
        <v>50</v>
      </c>
      <c r="V321" s="59"/>
      <c r="W321" s="60"/>
      <c r="X321" s="60"/>
      <c r="Y321" s="60"/>
      <c r="Z321" s="60"/>
      <c r="AA321" s="61"/>
      <c r="AB321" s="62"/>
      <c r="AC321" s="60"/>
      <c r="AD321" s="60"/>
      <c r="AE321" s="60"/>
      <c r="AF321" s="60"/>
      <c r="AG321" s="60"/>
      <c r="AH321" s="63"/>
      <c r="AI321" s="62">
        <v>53500000</v>
      </c>
      <c r="AJ321" s="60"/>
      <c r="AK321" s="60"/>
      <c r="AL321" s="60"/>
      <c r="AM321" s="60"/>
      <c r="AN321" s="60"/>
      <c r="AO321" s="63"/>
      <c r="AP321" s="62">
        <f>57245000+160500000-100000000</f>
        <v>117745000</v>
      </c>
      <c r="AQ321" s="60"/>
      <c r="AR321" s="60"/>
      <c r="AS321" s="60"/>
      <c r="AT321" s="60"/>
      <c r="AU321" s="60"/>
      <c r="AV321" s="64"/>
      <c r="AW321" s="55">
        <f t="shared" si="22"/>
        <v>0</v>
      </c>
      <c r="AX321" s="55">
        <f t="shared" si="23"/>
        <v>0</v>
      </c>
      <c r="AY321" s="55">
        <f t="shared" si="24"/>
        <v>53500000</v>
      </c>
      <c r="AZ321" s="55">
        <f t="shared" si="25"/>
        <v>117745000</v>
      </c>
      <c r="BA321" s="55">
        <f t="shared" si="26"/>
        <v>171245000</v>
      </c>
      <c r="BB321" s="32"/>
      <c r="BC321" s="32"/>
      <c r="BD321" s="32"/>
      <c r="BE321" s="32"/>
      <c r="BF321" s="32"/>
      <c r="BG321" s="32"/>
      <c r="BH321" s="32"/>
      <c r="BI321" s="32"/>
      <c r="BJ321" s="32"/>
      <c r="BK321" s="32"/>
      <c r="BL321" s="32"/>
      <c r="BM321" s="32"/>
      <c r="BN321" s="32"/>
      <c r="BO321" s="32"/>
      <c r="BP321" s="32"/>
      <c r="BQ321" s="32"/>
      <c r="BR321" s="32"/>
      <c r="BS321" s="32"/>
      <c r="BT321" s="32"/>
      <c r="BU321" s="32"/>
      <c r="BV321" s="32"/>
      <c r="BW321" s="32"/>
      <c r="BX321" s="32"/>
      <c r="BY321" s="32"/>
      <c r="BZ321" s="32"/>
      <c r="CA321" s="32"/>
      <c r="CB321" s="32"/>
      <c r="CC321" s="32"/>
      <c r="CD321" s="32"/>
      <c r="CE321" s="32"/>
      <c r="CF321" s="32"/>
      <c r="CG321" s="32"/>
      <c r="CH321" s="32"/>
      <c r="CI321" s="32"/>
      <c r="CJ321" s="32"/>
      <c r="CK321" s="32"/>
      <c r="CL321" s="32"/>
      <c r="CM321" s="32"/>
      <c r="CN321" s="32"/>
      <c r="CO321" s="32"/>
      <c r="CP321" s="32"/>
      <c r="CQ321" s="32"/>
      <c r="CR321" s="32"/>
      <c r="CS321" s="32"/>
      <c r="CT321" s="32"/>
      <c r="CU321" s="32"/>
      <c r="CV321" s="32"/>
      <c r="CW321" s="32"/>
      <c r="CX321" s="32"/>
      <c r="CY321" s="32"/>
      <c r="CZ321" s="32"/>
      <c r="DA321" s="32"/>
      <c r="DB321" s="32"/>
      <c r="DC321" s="32"/>
      <c r="DD321" s="32"/>
      <c r="DE321" s="32"/>
      <c r="DF321" s="32"/>
      <c r="DG321" s="32"/>
      <c r="DH321" s="32"/>
      <c r="DI321" s="32"/>
      <c r="DJ321" s="32"/>
      <c r="DK321" s="32"/>
      <c r="DL321" s="32"/>
      <c r="DM321" s="32"/>
      <c r="DN321" s="32"/>
      <c r="DO321" s="32"/>
      <c r="DP321" s="32"/>
      <c r="DQ321" s="32"/>
      <c r="DR321" s="32"/>
      <c r="DS321" s="32"/>
      <c r="DT321" s="32"/>
      <c r="DU321" s="32"/>
      <c r="DV321" s="32"/>
      <c r="DW321" s="32"/>
      <c r="DX321" s="32"/>
      <c r="DY321" s="32"/>
      <c r="DZ321" s="32"/>
      <c r="EA321" s="32"/>
      <c r="EB321" s="32"/>
      <c r="EC321" s="32"/>
    </row>
    <row r="322" spans="1:133" s="13" customFormat="1" ht="94.5" x14ac:dyDescent="0.25">
      <c r="A322" s="130" t="s">
        <v>533</v>
      </c>
      <c r="B322" s="132" t="s">
        <v>625</v>
      </c>
      <c r="C322" s="118" t="s">
        <v>657</v>
      </c>
      <c r="D322" s="110" t="s">
        <v>649</v>
      </c>
      <c r="E322" s="121">
        <v>0.66</v>
      </c>
      <c r="F322" s="121">
        <v>0.75</v>
      </c>
      <c r="G322" s="138" t="s">
        <v>662</v>
      </c>
      <c r="H322" s="138" t="s">
        <v>1453</v>
      </c>
      <c r="I322" s="103" t="s">
        <v>663</v>
      </c>
      <c r="J322" s="103" t="s">
        <v>1683</v>
      </c>
      <c r="K322" s="56">
        <v>13</v>
      </c>
      <c r="L322" s="86">
        <v>15</v>
      </c>
      <c r="M322" s="103" t="s">
        <v>1141</v>
      </c>
      <c r="N322" s="56" t="s">
        <v>164</v>
      </c>
      <c r="O322" s="54" t="s">
        <v>630</v>
      </c>
      <c r="P322" s="58" t="s">
        <v>1677</v>
      </c>
      <c r="Q322" s="171" t="s">
        <v>1680</v>
      </c>
      <c r="R322" s="182">
        <v>0</v>
      </c>
      <c r="S322" s="178">
        <v>0</v>
      </c>
      <c r="T322" s="178">
        <v>1</v>
      </c>
      <c r="U322" s="183">
        <v>1</v>
      </c>
      <c r="V322" s="59"/>
      <c r="W322" s="60"/>
      <c r="X322" s="60"/>
      <c r="Y322" s="60"/>
      <c r="Z322" s="60"/>
      <c r="AA322" s="61"/>
      <c r="AB322" s="62"/>
      <c r="AC322" s="60"/>
      <c r="AD322" s="60"/>
      <c r="AE322" s="60"/>
      <c r="AF322" s="60"/>
      <c r="AG322" s="60"/>
      <c r="AH322" s="63"/>
      <c r="AI322" s="62">
        <v>1163560972</v>
      </c>
      <c r="AJ322" s="60"/>
      <c r="AK322" s="60">
        <v>2216646806</v>
      </c>
      <c r="AL322" s="60"/>
      <c r="AM322" s="60">
        <v>19070500000</v>
      </c>
      <c r="AN322" s="60"/>
      <c r="AO322" s="63"/>
      <c r="AP322" s="62">
        <v>4771745481</v>
      </c>
      <c r="AQ322" s="60"/>
      <c r="AR322" s="60">
        <v>2438311487</v>
      </c>
      <c r="AS322" s="60"/>
      <c r="AT322" s="60"/>
      <c r="AU322" s="60"/>
      <c r="AV322" s="64"/>
      <c r="AW322" s="55">
        <f t="shared" si="22"/>
        <v>0</v>
      </c>
      <c r="AX322" s="55">
        <f t="shared" si="23"/>
        <v>0</v>
      </c>
      <c r="AY322" s="55">
        <f t="shared" si="24"/>
        <v>22450707778</v>
      </c>
      <c r="AZ322" s="55">
        <f t="shared" si="25"/>
        <v>7210056968</v>
      </c>
      <c r="BA322" s="55">
        <f t="shared" si="26"/>
        <v>29660764746</v>
      </c>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c r="CP322" s="4"/>
      <c r="CQ322" s="4"/>
      <c r="CR322" s="4"/>
      <c r="CS322" s="4"/>
      <c r="CT322" s="4"/>
      <c r="CU322" s="4"/>
      <c r="CV322" s="4"/>
      <c r="CW322" s="4"/>
      <c r="CX322" s="4"/>
      <c r="CY322" s="4"/>
      <c r="CZ322" s="4"/>
      <c r="DA322" s="4"/>
      <c r="DB322" s="4"/>
      <c r="DC322" s="4"/>
      <c r="DD322" s="4"/>
      <c r="DE322" s="4"/>
      <c r="DF322" s="4"/>
      <c r="DG322" s="4"/>
      <c r="DH322" s="4"/>
      <c r="DI322" s="4"/>
      <c r="DJ322" s="4"/>
      <c r="DK322" s="4"/>
      <c r="DL322" s="4"/>
      <c r="DM322" s="4"/>
      <c r="DN322" s="4"/>
      <c r="DO322" s="4"/>
      <c r="DP322" s="4"/>
      <c r="DQ322" s="4"/>
      <c r="DR322" s="4"/>
      <c r="DS322" s="4"/>
      <c r="DT322" s="4"/>
      <c r="DU322" s="4"/>
      <c r="DV322" s="4"/>
      <c r="DW322" s="4"/>
      <c r="DX322" s="4"/>
      <c r="DY322" s="4"/>
      <c r="DZ322" s="4"/>
      <c r="EA322" s="4"/>
      <c r="EB322" s="4"/>
      <c r="EC322" s="4"/>
    </row>
    <row r="323" spans="1:133" s="13" customFormat="1" ht="94.5" x14ac:dyDescent="0.25">
      <c r="A323" s="130" t="s">
        <v>533</v>
      </c>
      <c r="B323" s="132" t="s">
        <v>625</v>
      </c>
      <c r="C323" s="118" t="s">
        <v>657</v>
      </c>
      <c r="D323" s="110" t="s">
        <v>649</v>
      </c>
      <c r="E323" s="121">
        <v>0.66</v>
      </c>
      <c r="F323" s="121">
        <v>0.75</v>
      </c>
      <c r="G323" s="138" t="s">
        <v>662</v>
      </c>
      <c r="H323" s="138" t="s">
        <v>1454</v>
      </c>
      <c r="I323" s="103" t="s">
        <v>664</v>
      </c>
      <c r="J323" s="103" t="s">
        <v>1682</v>
      </c>
      <c r="K323" s="178">
        <v>100</v>
      </c>
      <c r="L323" s="179">
        <v>100</v>
      </c>
      <c r="M323" s="103" t="s">
        <v>1141</v>
      </c>
      <c r="N323" s="56" t="s">
        <v>164</v>
      </c>
      <c r="O323" s="54" t="s">
        <v>630</v>
      </c>
      <c r="P323" s="58" t="s">
        <v>42</v>
      </c>
      <c r="Q323" s="54" t="s">
        <v>1679</v>
      </c>
      <c r="R323" s="182">
        <v>100</v>
      </c>
      <c r="S323" s="178">
        <v>100</v>
      </c>
      <c r="T323" s="178">
        <v>100</v>
      </c>
      <c r="U323" s="183">
        <v>100</v>
      </c>
      <c r="V323" s="59">
        <v>7732722190.8000002</v>
      </c>
      <c r="W323" s="60"/>
      <c r="X323" s="60"/>
      <c r="Y323" s="60"/>
      <c r="Z323" s="60"/>
      <c r="AA323" s="61"/>
      <c r="AB323" s="62">
        <f>500000000+5290963234</f>
        <v>5790963234</v>
      </c>
      <c r="AC323" s="60"/>
      <c r="AD323" s="60">
        <v>2015133460</v>
      </c>
      <c r="AE323" s="60"/>
      <c r="AF323" s="60"/>
      <c r="AG323" s="60"/>
      <c r="AH323" s="63"/>
      <c r="AI323" s="62">
        <v>535000000</v>
      </c>
      <c r="AJ323" s="60"/>
      <c r="AK323" s="60"/>
      <c r="AL323" s="60"/>
      <c r="AM323" s="60"/>
      <c r="AN323" s="60"/>
      <c r="AO323" s="63"/>
      <c r="AP323" s="62">
        <v>572450000</v>
      </c>
      <c r="AQ323" s="60"/>
      <c r="AR323" s="60"/>
      <c r="AS323" s="60"/>
      <c r="AT323" s="60"/>
      <c r="AU323" s="60"/>
      <c r="AV323" s="64"/>
      <c r="AW323" s="55">
        <f t="shared" si="22"/>
        <v>7732722190.8000002</v>
      </c>
      <c r="AX323" s="55">
        <f t="shared" si="23"/>
        <v>7806096694</v>
      </c>
      <c r="AY323" s="55">
        <f t="shared" si="24"/>
        <v>535000000</v>
      </c>
      <c r="AZ323" s="55">
        <f t="shared" si="25"/>
        <v>572450000</v>
      </c>
      <c r="BA323" s="55">
        <f t="shared" si="26"/>
        <v>16646268884.799999</v>
      </c>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c r="EC323" s="32"/>
    </row>
    <row r="324" spans="1:133" s="13" customFormat="1" ht="94.5" x14ac:dyDescent="0.25">
      <c r="A324" s="130" t="s">
        <v>533</v>
      </c>
      <c r="B324" s="132" t="s">
        <v>625</v>
      </c>
      <c r="C324" s="118" t="s">
        <v>665</v>
      </c>
      <c r="D324" s="110" t="s">
        <v>649</v>
      </c>
      <c r="E324" s="121">
        <v>0.66</v>
      </c>
      <c r="F324" s="121">
        <v>0.75</v>
      </c>
      <c r="G324" s="106" t="s">
        <v>666</v>
      </c>
      <c r="H324" s="106" t="s">
        <v>1455</v>
      </c>
      <c r="I324" s="103" t="s">
        <v>667</v>
      </c>
      <c r="J324" s="103" t="s">
        <v>1682</v>
      </c>
      <c r="K324" s="178">
        <v>0</v>
      </c>
      <c r="L324" s="179">
        <v>100</v>
      </c>
      <c r="M324" s="103" t="s">
        <v>1141</v>
      </c>
      <c r="N324" s="56" t="s">
        <v>164</v>
      </c>
      <c r="O324" s="54" t="s">
        <v>630</v>
      </c>
      <c r="P324" s="58" t="s">
        <v>39</v>
      </c>
      <c r="Q324" s="171" t="s">
        <v>1680</v>
      </c>
      <c r="R324" s="182">
        <v>0</v>
      </c>
      <c r="S324" s="178">
        <v>30</v>
      </c>
      <c r="T324" s="178">
        <v>30</v>
      </c>
      <c r="U324" s="183">
        <v>40</v>
      </c>
      <c r="V324" s="59"/>
      <c r="W324" s="60"/>
      <c r="X324" s="60"/>
      <c r="Y324" s="60"/>
      <c r="Z324" s="60"/>
      <c r="AA324" s="61"/>
      <c r="AB324" s="62">
        <v>3500000000</v>
      </c>
      <c r="AC324" s="60"/>
      <c r="AD324" s="60">
        <v>8000000000</v>
      </c>
      <c r="AE324" s="60"/>
      <c r="AF324" s="60"/>
      <c r="AG324" s="60"/>
      <c r="AH324" s="63"/>
      <c r="AI324" s="62">
        <v>1745000000</v>
      </c>
      <c r="AJ324" s="60"/>
      <c r="AK324" s="60">
        <v>2000000000</v>
      </c>
      <c r="AL324" s="60"/>
      <c r="AM324" s="60"/>
      <c r="AN324" s="60"/>
      <c r="AO324" s="63"/>
      <c r="AP324" s="62">
        <v>3007150000</v>
      </c>
      <c r="AQ324" s="60"/>
      <c r="AR324" s="60">
        <v>2140000000</v>
      </c>
      <c r="AS324" s="60"/>
      <c r="AT324" s="60"/>
      <c r="AU324" s="60"/>
      <c r="AV324" s="64"/>
      <c r="AW324" s="55">
        <f t="shared" ref="AW324:AW387" si="28">SUM(V324:AA324)</f>
        <v>0</v>
      </c>
      <c r="AX324" s="55">
        <f t="shared" ref="AX324:AX387" si="29">SUM(AB324:AH324)</f>
        <v>11500000000</v>
      </c>
      <c r="AY324" s="55">
        <f t="shared" ref="AY324:AY387" si="30">SUM(AI324:AO324)</f>
        <v>3745000000</v>
      </c>
      <c r="AZ324" s="55">
        <f t="shared" ref="AZ324:AZ387" si="31">SUM(AP324:AV324)</f>
        <v>5147150000</v>
      </c>
      <c r="BA324" s="55">
        <f t="shared" ref="BA324:BA387" si="32">SUM(AW324:AZ324)</f>
        <v>20392150000</v>
      </c>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c r="CP324" s="4"/>
      <c r="CQ324" s="4"/>
      <c r="CR324" s="4"/>
      <c r="CS324" s="4"/>
      <c r="CT324" s="4"/>
      <c r="CU324" s="4"/>
      <c r="CV324" s="4"/>
      <c r="CW324" s="4"/>
      <c r="CX324" s="4"/>
      <c r="CY324" s="4"/>
      <c r="CZ324" s="4"/>
      <c r="DA324" s="4"/>
      <c r="DB324" s="4"/>
      <c r="DC324" s="4"/>
      <c r="DD324" s="4"/>
      <c r="DE324" s="4"/>
      <c r="DF324" s="4"/>
      <c r="DG324" s="4"/>
      <c r="DH324" s="4"/>
      <c r="DI324" s="4"/>
      <c r="DJ324" s="4"/>
      <c r="DK324" s="4"/>
      <c r="DL324" s="4"/>
      <c r="DM324" s="4"/>
      <c r="DN324" s="4"/>
      <c r="DO324" s="4"/>
      <c r="DP324" s="4"/>
      <c r="DQ324" s="4"/>
      <c r="DR324" s="4"/>
      <c r="DS324" s="4"/>
      <c r="DT324" s="4"/>
      <c r="DU324" s="4"/>
      <c r="DV324" s="4"/>
      <c r="DW324" s="4"/>
      <c r="DX324" s="4"/>
      <c r="DY324" s="4"/>
      <c r="DZ324" s="4"/>
      <c r="EA324" s="4"/>
      <c r="EB324" s="4"/>
      <c r="EC324" s="4"/>
    </row>
    <row r="325" spans="1:133" s="13" customFormat="1" ht="110.25" x14ac:dyDescent="0.25">
      <c r="A325" s="130" t="s">
        <v>533</v>
      </c>
      <c r="B325" s="132" t="s">
        <v>625</v>
      </c>
      <c r="C325" s="118" t="s">
        <v>665</v>
      </c>
      <c r="D325" s="110" t="s">
        <v>649</v>
      </c>
      <c r="E325" s="121">
        <v>0.66</v>
      </c>
      <c r="F325" s="121">
        <v>0.75</v>
      </c>
      <c r="G325" s="112" t="s">
        <v>668</v>
      </c>
      <c r="H325" s="112" t="s">
        <v>1456</v>
      </c>
      <c r="I325" s="103" t="s">
        <v>669</v>
      </c>
      <c r="J325" s="103" t="s">
        <v>1683</v>
      </c>
      <c r="K325" s="56">
        <v>0</v>
      </c>
      <c r="L325" s="86">
        <v>3</v>
      </c>
      <c r="M325" s="103" t="s">
        <v>1141</v>
      </c>
      <c r="N325" s="56" t="s">
        <v>164</v>
      </c>
      <c r="O325" s="54" t="s">
        <v>630</v>
      </c>
      <c r="P325" s="58" t="s">
        <v>39</v>
      </c>
      <c r="Q325" s="171" t="s">
        <v>1680</v>
      </c>
      <c r="R325" s="182">
        <v>1</v>
      </c>
      <c r="S325" s="178">
        <v>1</v>
      </c>
      <c r="T325" s="178">
        <v>1</v>
      </c>
      <c r="U325" s="183">
        <v>0</v>
      </c>
      <c r="V325" s="59">
        <v>978000000</v>
      </c>
      <c r="W325" s="60"/>
      <c r="X325" s="60"/>
      <c r="Y325" s="60"/>
      <c r="Z325" s="60"/>
      <c r="AA325" s="61"/>
      <c r="AB325" s="62">
        <v>2000000000</v>
      </c>
      <c r="AC325" s="60"/>
      <c r="AD325" s="60"/>
      <c r="AE325" s="60"/>
      <c r="AF325" s="60"/>
      <c r="AG325" s="60"/>
      <c r="AH325" s="63"/>
      <c r="AI325" s="62">
        <v>1140000000</v>
      </c>
      <c r="AJ325" s="60"/>
      <c r="AK325" s="60"/>
      <c r="AL325" s="60"/>
      <c r="AM325" s="60"/>
      <c r="AN325" s="60"/>
      <c r="AO325" s="63"/>
      <c r="AP325" s="62"/>
      <c r="AQ325" s="60"/>
      <c r="AR325" s="60"/>
      <c r="AS325" s="60"/>
      <c r="AT325" s="60"/>
      <c r="AU325" s="60"/>
      <c r="AV325" s="64"/>
      <c r="AW325" s="55">
        <f t="shared" si="28"/>
        <v>978000000</v>
      </c>
      <c r="AX325" s="55">
        <f t="shared" si="29"/>
        <v>2000000000</v>
      </c>
      <c r="AY325" s="55">
        <f t="shared" si="30"/>
        <v>1140000000</v>
      </c>
      <c r="AZ325" s="55">
        <f t="shared" si="31"/>
        <v>0</v>
      </c>
      <c r="BA325" s="55">
        <f t="shared" si="32"/>
        <v>4118000000</v>
      </c>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c r="EC325" s="32"/>
    </row>
    <row r="326" spans="1:133" s="13" customFormat="1" ht="94.5" x14ac:dyDescent="0.25">
      <c r="A326" s="130" t="s">
        <v>533</v>
      </c>
      <c r="B326" s="132" t="s">
        <v>625</v>
      </c>
      <c r="C326" s="118" t="s">
        <v>665</v>
      </c>
      <c r="D326" s="110" t="s">
        <v>649</v>
      </c>
      <c r="E326" s="121">
        <v>0.66</v>
      </c>
      <c r="F326" s="121">
        <v>0.75</v>
      </c>
      <c r="G326" s="112" t="s">
        <v>668</v>
      </c>
      <c r="H326" s="112" t="s">
        <v>1457</v>
      </c>
      <c r="I326" s="103" t="s">
        <v>670</v>
      </c>
      <c r="J326" s="103" t="s">
        <v>1683</v>
      </c>
      <c r="K326" s="56">
        <v>288</v>
      </c>
      <c r="L326" s="86">
        <v>374</v>
      </c>
      <c r="M326" s="103" t="s">
        <v>1141</v>
      </c>
      <c r="N326" s="56" t="s">
        <v>164</v>
      </c>
      <c r="O326" s="54" t="s">
        <v>630</v>
      </c>
      <c r="P326" s="58" t="s">
        <v>39</v>
      </c>
      <c r="Q326" s="171" t="s">
        <v>1680</v>
      </c>
      <c r="R326" s="184">
        <v>0</v>
      </c>
      <c r="S326" s="185">
        <v>74</v>
      </c>
      <c r="T326" s="185">
        <v>150</v>
      </c>
      <c r="U326" s="186">
        <v>150</v>
      </c>
      <c r="V326" s="59"/>
      <c r="W326" s="60"/>
      <c r="X326" s="60"/>
      <c r="Y326" s="60"/>
      <c r="Z326" s="60"/>
      <c r="AA326" s="61"/>
      <c r="AB326" s="62"/>
      <c r="AC326" s="60"/>
      <c r="AD326" s="60">
        <v>5000000000</v>
      </c>
      <c r="AE326" s="60"/>
      <c r="AF326" s="60"/>
      <c r="AG326" s="60"/>
      <c r="AH326" s="63"/>
      <c r="AI326" s="62">
        <v>1000000000</v>
      </c>
      <c r="AJ326" s="60"/>
      <c r="AK326" s="60"/>
      <c r="AL326" s="60"/>
      <c r="AM326" s="60"/>
      <c r="AN326" s="60"/>
      <c r="AO326" s="63"/>
      <c r="AP326" s="62">
        <v>2289800000</v>
      </c>
      <c r="AQ326" s="60"/>
      <c r="AR326" s="60"/>
      <c r="AS326" s="60"/>
      <c r="AT326" s="60"/>
      <c r="AU326" s="60"/>
      <c r="AV326" s="64"/>
      <c r="AW326" s="55">
        <f t="shared" si="28"/>
        <v>0</v>
      </c>
      <c r="AX326" s="55">
        <f t="shared" si="29"/>
        <v>5000000000</v>
      </c>
      <c r="AY326" s="55">
        <f t="shared" si="30"/>
        <v>1000000000</v>
      </c>
      <c r="AZ326" s="55">
        <f t="shared" si="31"/>
        <v>2289800000</v>
      </c>
      <c r="BA326" s="55">
        <f t="shared" si="32"/>
        <v>8289800000</v>
      </c>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row>
    <row r="327" spans="1:133" s="13" customFormat="1" ht="94.5" x14ac:dyDescent="0.25">
      <c r="A327" s="130" t="s">
        <v>533</v>
      </c>
      <c r="B327" s="132" t="s">
        <v>625</v>
      </c>
      <c r="C327" s="118" t="s">
        <v>665</v>
      </c>
      <c r="D327" s="110" t="s">
        <v>649</v>
      </c>
      <c r="E327" s="121">
        <v>0.66</v>
      </c>
      <c r="F327" s="121">
        <v>0.75</v>
      </c>
      <c r="G327" s="112" t="s">
        <v>668</v>
      </c>
      <c r="H327" s="112" t="s">
        <v>1458</v>
      </c>
      <c r="I327" s="103" t="s">
        <v>671</v>
      </c>
      <c r="J327" s="103" t="s">
        <v>1683</v>
      </c>
      <c r="K327" s="56">
        <v>0</v>
      </c>
      <c r="L327" s="86">
        <v>6</v>
      </c>
      <c r="M327" s="103" t="s">
        <v>1141</v>
      </c>
      <c r="N327" s="56" t="s">
        <v>164</v>
      </c>
      <c r="O327" s="54" t="s">
        <v>630</v>
      </c>
      <c r="P327" s="58" t="s">
        <v>39</v>
      </c>
      <c r="Q327" s="171" t="s">
        <v>1680</v>
      </c>
      <c r="R327" s="182">
        <v>0</v>
      </c>
      <c r="S327" s="178">
        <v>2</v>
      </c>
      <c r="T327" s="178">
        <v>2</v>
      </c>
      <c r="U327" s="183">
        <v>2</v>
      </c>
      <c r="V327" s="59"/>
      <c r="W327" s="60"/>
      <c r="X327" s="60"/>
      <c r="Y327" s="60"/>
      <c r="Z327" s="60"/>
      <c r="AA327" s="61"/>
      <c r="AB327" s="62">
        <v>200000000</v>
      </c>
      <c r="AC327" s="60"/>
      <c r="AD327" s="60"/>
      <c r="AE327" s="60"/>
      <c r="AF327" s="60"/>
      <c r="AG327" s="60"/>
      <c r="AH327" s="63"/>
      <c r="AI327" s="62"/>
      <c r="AJ327" s="60"/>
      <c r="AK327" s="60">
        <v>3350000000</v>
      </c>
      <c r="AL327" s="60"/>
      <c r="AM327" s="60"/>
      <c r="AN327" s="60"/>
      <c r="AO327" s="63"/>
      <c r="AP327" s="62"/>
      <c r="AQ327" s="60"/>
      <c r="AR327" s="60">
        <v>5724500000</v>
      </c>
      <c r="AS327" s="60"/>
      <c r="AT327" s="60"/>
      <c r="AU327" s="60"/>
      <c r="AV327" s="64"/>
      <c r="AW327" s="55">
        <f t="shared" si="28"/>
        <v>0</v>
      </c>
      <c r="AX327" s="55">
        <f t="shared" si="29"/>
        <v>200000000</v>
      </c>
      <c r="AY327" s="55">
        <f t="shared" si="30"/>
        <v>3350000000</v>
      </c>
      <c r="AZ327" s="55">
        <f t="shared" si="31"/>
        <v>5724500000</v>
      </c>
      <c r="BA327" s="55">
        <f t="shared" si="32"/>
        <v>9274500000</v>
      </c>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c r="CP327" s="4"/>
      <c r="CQ327" s="4"/>
      <c r="CR327" s="4"/>
      <c r="CS327" s="4"/>
      <c r="CT327" s="4"/>
      <c r="CU327" s="4"/>
      <c r="CV327" s="4"/>
      <c r="CW327" s="4"/>
      <c r="CX327" s="4"/>
      <c r="CY327" s="4"/>
      <c r="CZ327" s="4"/>
      <c r="DA327" s="4"/>
      <c r="DB327" s="4"/>
      <c r="DC327" s="4"/>
      <c r="DD327" s="4"/>
      <c r="DE327" s="4"/>
      <c r="DF327" s="4"/>
      <c r="DG327" s="4"/>
      <c r="DH327" s="4"/>
      <c r="DI327" s="4"/>
      <c r="DJ327" s="4"/>
      <c r="DK327" s="4"/>
      <c r="DL327" s="4"/>
      <c r="DM327" s="4"/>
      <c r="DN327" s="4"/>
      <c r="DO327" s="4"/>
      <c r="DP327" s="4"/>
      <c r="DQ327" s="4"/>
      <c r="DR327" s="4"/>
      <c r="DS327" s="4"/>
      <c r="DT327" s="4"/>
      <c r="DU327" s="4"/>
      <c r="DV327" s="4"/>
      <c r="DW327" s="4"/>
      <c r="DX327" s="4"/>
      <c r="DY327" s="4"/>
      <c r="DZ327" s="4"/>
      <c r="EA327" s="4"/>
      <c r="EB327" s="4"/>
      <c r="EC327" s="4"/>
    </row>
    <row r="328" spans="1:133" s="13" customFormat="1" ht="94.5" x14ac:dyDescent="0.25">
      <c r="A328" s="130" t="s">
        <v>533</v>
      </c>
      <c r="B328" s="133" t="s">
        <v>672</v>
      </c>
      <c r="C328" s="118" t="s">
        <v>673</v>
      </c>
      <c r="D328" s="127" t="s">
        <v>674</v>
      </c>
      <c r="E328" s="127">
        <v>0</v>
      </c>
      <c r="F328" s="127">
        <v>20</v>
      </c>
      <c r="G328" s="122" t="s">
        <v>675</v>
      </c>
      <c r="H328" s="122" t="s">
        <v>1459</v>
      </c>
      <c r="I328" s="103" t="s">
        <v>676</v>
      </c>
      <c r="J328" s="103" t="s">
        <v>1682</v>
      </c>
      <c r="K328" s="178">
        <v>0</v>
      </c>
      <c r="L328" s="179">
        <v>100</v>
      </c>
      <c r="M328" s="103" t="s">
        <v>1141</v>
      </c>
      <c r="N328" s="56" t="s">
        <v>164</v>
      </c>
      <c r="O328" s="54" t="s">
        <v>630</v>
      </c>
      <c r="P328" s="58" t="s">
        <v>39</v>
      </c>
      <c r="Q328" s="171" t="s">
        <v>1680</v>
      </c>
      <c r="R328" s="182">
        <v>0</v>
      </c>
      <c r="S328" s="178">
        <v>0</v>
      </c>
      <c r="T328" s="178">
        <v>40</v>
      </c>
      <c r="U328" s="183">
        <v>60</v>
      </c>
      <c r="V328" s="59"/>
      <c r="W328" s="60"/>
      <c r="X328" s="60"/>
      <c r="Y328" s="60"/>
      <c r="Z328" s="60"/>
      <c r="AA328" s="61"/>
      <c r="AB328" s="62">
        <v>500000000</v>
      </c>
      <c r="AC328" s="60"/>
      <c r="AD328" s="60"/>
      <c r="AE328" s="60"/>
      <c r="AF328" s="60"/>
      <c r="AG328" s="60"/>
      <c r="AH328" s="63"/>
      <c r="AI328" s="62">
        <v>518500000</v>
      </c>
      <c r="AJ328" s="60"/>
      <c r="AK328" s="60"/>
      <c r="AL328" s="60"/>
      <c r="AM328" s="60"/>
      <c r="AN328" s="60"/>
      <c r="AO328" s="63"/>
      <c r="AP328" s="62">
        <v>534040000</v>
      </c>
      <c r="AQ328" s="60"/>
      <c r="AR328" s="60"/>
      <c r="AS328" s="60"/>
      <c r="AT328" s="60"/>
      <c r="AU328" s="60"/>
      <c r="AV328" s="64"/>
      <c r="AW328" s="55">
        <f t="shared" si="28"/>
        <v>0</v>
      </c>
      <c r="AX328" s="55">
        <f t="shared" si="29"/>
        <v>500000000</v>
      </c>
      <c r="AY328" s="55">
        <f t="shared" si="30"/>
        <v>518500000</v>
      </c>
      <c r="AZ328" s="55">
        <f t="shared" si="31"/>
        <v>534040000</v>
      </c>
      <c r="BA328" s="55">
        <f t="shared" si="32"/>
        <v>1552540000</v>
      </c>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row>
    <row r="329" spans="1:133" s="13" customFormat="1" ht="94.5" x14ac:dyDescent="0.25">
      <c r="A329" s="130" t="s">
        <v>533</v>
      </c>
      <c r="B329" s="133" t="s">
        <v>672</v>
      </c>
      <c r="C329" s="118" t="s">
        <v>673</v>
      </c>
      <c r="D329" s="127" t="s">
        <v>674</v>
      </c>
      <c r="E329" s="127">
        <v>0</v>
      </c>
      <c r="F329" s="127">
        <v>20</v>
      </c>
      <c r="G329" s="122" t="s">
        <v>675</v>
      </c>
      <c r="H329" s="122" t="s">
        <v>1460</v>
      </c>
      <c r="I329" s="103" t="s">
        <v>677</v>
      </c>
      <c r="J329" s="103" t="s">
        <v>1682</v>
      </c>
      <c r="K329" s="178">
        <v>0</v>
      </c>
      <c r="L329" s="179">
        <v>100</v>
      </c>
      <c r="M329" s="103" t="s">
        <v>1141</v>
      </c>
      <c r="N329" s="56" t="s">
        <v>164</v>
      </c>
      <c r="O329" s="54" t="s">
        <v>630</v>
      </c>
      <c r="P329" s="58" t="s">
        <v>39</v>
      </c>
      <c r="Q329" s="171" t="s">
        <v>1680</v>
      </c>
      <c r="R329" s="182">
        <v>0</v>
      </c>
      <c r="S329" s="178">
        <v>25</v>
      </c>
      <c r="T329" s="178">
        <v>25</v>
      </c>
      <c r="U329" s="183">
        <v>50</v>
      </c>
      <c r="V329" s="59"/>
      <c r="W329" s="60"/>
      <c r="X329" s="60"/>
      <c r="Y329" s="60"/>
      <c r="Z329" s="60"/>
      <c r="AA329" s="61"/>
      <c r="AB329" s="62">
        <v>350000000</v>
      </c>
      <c r="AC329" s="60"/>
      <c r="AD329" s="60"/>
      <c r="AE329" s="60"/>
      <c r="AF329" s="60"/>
      <c r="AG329" s="60"/>
      <c r="AH329" s="63"/>
      <c r="AI329" s="62">
        <v>277500000</v>
      </c>
      <c r="AJ329" s="60"/>
      <c r="AK329" s="60"/>
      <c r="AL329" s="60"/>
      <c r="AM329" s="60"/>
      <c r="AN329" s="60"/>
      <c r="AO329" s="63"/>
      <c r="AP329" s="62">
        <v>288600000</v>
      </c>
      <c r="AQ329" s="60"/>
      <c r="AR329" s="60"/>
      <c r="AS329" s="60"/>
      <c r="AT329" s="60"/>
      <c r="AU329" s="60"/>
      <c r="AV329" s="64"/>
      <c r="AW329" s="55">
        <f t="shared" si="28"/>
        <v>0</v>
      </c>
      <c r="AX329" s="55">
        <f t="shared" si="29"/>
        <v>350000000</v>
      </c>
      <c r="AY329" s="55">
        <f t="shared" si="30"/>
        <v>277500000</v>
      </c>
      <c r="AZ329" s="55">
        <f t="shared" si="31"/>
        <v>288600000</v>
      </c>
      <c r="BA329" s="55">
        <f t="shared" si="32"/>
        <v>916100000</v>
      </c>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c r="CP329" s="4"/>
      <c r="CQ329" s="4"/>
      <c r="CR329" s="4"/>
      <c r="CS329" s="4"/>
      <c r="CT329" s="4"/>
      <c r="CU329" s="4"/>
      <c r="CV329" s="4"/>
      <c r="CW329" s="4"/>
      <c r="CX329" s="4"/>
      <c r="CY329" s="4"/>
      <c r="CZ329" s="4"/>
      <c r="DA329" s="4"/>
      <c r="DB329" s="4"/>
      <c r="DC329" s="4"/>
      <c r="DD329" s="4"/>
      <c r="DE329" s="4"/>
      <c r="DF329" s="4"/>
      <c r="DG329" s="4"/>
      <c r="DH329" s="4"/>
      <c r="DI329" s="4"/>
      <c r="DJ329" s="4"/>
      <c r="DK329" s="4"/>
      <c r="DL329" s="4"/>
      <c r="DM329" s="4"/>
      <c r="DN329" s="4"/>
      <c r="DO329" s="4"/>
      <c r="DP329" s="4"/>
      <c r="DQ329" s="4"/>
      <c r="DR329" s="4"/>
      <c r="DS329" s="4"/>
      <c r="DT329" s="4"/>
      <c r="DU329" s="4"/>
      <c r="DV329" s="4"/>
      <c r="DW329" s="4"/>
      <c r="DX329" s="4"/>
      <c r="DY329" s="4"/>
      <c r="DZ329" s="4"/>
      <c r="EA329" s="4"/>
      <c r="EB329" s="4"/>
      <c r="EC329" s="4"/>
    </row>
    <row r="330" spans="1:133" s="13" customFormat="1" ht="94.5" x14ac:dyDescent="0.25">
      <c r="A330" s="130" t="s">
        <v>533</v>
      </c>
      <c r="B330" s="133" t="s">
        <v>672</v>
      </c>
      <c r="C330" s="118" t="s">
        <v>673</v>
      </c>
      <c r="D330" s="127" t="s">
        <v>674</v>
      </c>
      <c r="E330" s="127">
        <v>0</v>
      </c>
      <c r="F330" s="127">
        <v>20</v>
      </c>
      <c r="G330" s="122" t="s">
        <v>675</v>
      </c>
      <c r="H330" s="122" t="s">
        <v>1461</v>
      </c>
      <c r="I330" s="103" t="s">
        <v>678</v>
      </c>
      <c r="J330" s="103" t="s">
        <v>1682</v>
      </c>
      <c r="K330" s="178">
        <v>0</v>
      </c>
      <c r="L330" s="179">
        <v>100</v>
      </c>
      <c r="M330" s="103" t="s">
        <v>1141</v>
      </c>
      <c r="N330" s="56" t="s">
        <v>164</v>
      </c>
      <c r="O330" s="54" t="s">
        <v>630</v>
      </c>
      <c r="P330" s="58" t="s">
        <v>39</v>
      </c>
      <c r="Q330" s="171" t="s">
        <v>1680</v>
      </c>
      <c r="R330" s="182">
        <v>10</v>
      </c>
      <c r="S330" s="178">
        <v>20</v>
      </c>
      <c r="T330" s="178">
        <v>30</v>
      </c>
      <c r="U330" s="183">
        <v>40</v>
      </c>
      <c r="V330" s="59">
        <v>170000000</v>
      </c>
      <c r="W330" s="60"/>
      <c r="X330" s="60"/>
      <c r="Y330" s="60"/>
      <c r="Z330" s="60"/>
      <c r="AA330" s="61"/>
      <c r="AB330" s="62">
        <v>300000000</v>
      </c>
      <c r="AC330" s="60"/>
      <c r="AD330" s="60"/>
      <c r="AE330" s="60"/>
      <c r="AF330" s="60"/>
      <c r="AG330" s="60"/>
      <c r="AH330" s="63"/>
      <c r="AI330" s="62">
        <v>277500000</v>
      </c>
      <c r="AJ330" s="60"/>
      <c r="AK330" s="60"/>
      <c r="AL330" s="60"/>
      <c r="AM330" s="60"/>
      <c r="AN330" s="60"/>
      <c r="AO330" s="63"/>
      <c r="AP330" s="62">
        <f>288600000+3806577</f>
        <v>292406577</v>
      </c>
      <c r="AQ330" s="60"/>
      <c r="AR330" s="60"/>
      <c r="AS330" s="60"/>
      <c r="AT330" s="60"/>
      <c r="AU330" s="60"/>
      <c r="AV330" s="64"/>
      <c r="AW330" s="55">
        <f t="shared" si="28"/>
        <v>170000000</v>
      </c>
      <c r="AX330" s="55">
        <f t="shared" si="29"/>
        <v>300000000</v>
      </c>
      <c r="AY330" s="55">
        <f t="shared" si="30"/>
        <v>277500000</v>
      </c>
      <c r="AZ330" s="55">
        <f t="shared" si="31"/>
        <v>292406577</v>
      </c>
      <c r="BA330" s="55">
        <f t="shared" si="32"/>
        <v>1039906577</v>
      </c>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c r="CC330" s="32"/>
      <c r="CD330" s="32"/>
      <c r="CE330" s="32"/>
      <c r="CF330" s="32"/>
      <c r="CG330" s="32"/>
      <c r="CH330" s="32"/>
      <c r="CI330" s="32"/>
      <c r="CJ330" s="32"/>
      <c r="CK330" s="32"/>
      <c r="CL330" s="32"/>
      <c r="CM330" s="32"/>
      <c r="CN330" s="32"/>
      <c r="CO330" s="32"/>
      <c r="CP330" s="32"/>
      <c r="CQ330" s="32"/>
      <c r="CR330" s="32"/>
      <c r="CS330" s="32"/>
      <c r="CT330" s="32"/>
      <c r="CU330" s="32"/>
      <c r="CV330" s="32"/>
      <c r="CW330" s="32"/>
      <c r="CX330" s="32"/>
      <c r="CY330" s="32"/>
      <c r="CZ330" s="32"/>
      <c r="DA330" s="32"/>
      <c r="DB330" s="32"/>
      <c r="DC330" s="32"/>
      <c r="DD330" s="32"/>
      <c r="DE330" s="32"/>
      <c r="DF330" s="32"/>
      <c r="DG330" s="32"/>
      <c r="DH330" s="32"/>
      <c r="DI330" s="32"/>
      <c r="DJ330" s="32"/>
      <c r="DK330" s="32"/>
      <c r="DL330" s="32"/>
      <c r="DM330" s="32"/>
      <c r="DN330" s="32"/>
      <c r="DO330" s="32"/>
      <c r="DP330" s="32"/>
      <c r="DQ330" s="32"/>
      <c r="DR330" s="32"/>
      <c r="DS330" s="32"/>
      <c r="DT330" s="32"/>
      <c r="DU330" s="32"/>
      <c r="DV330" s="32"/>
      <c r="DW330" s="32"/>
      <c r="DX330" s="32"/>
      <c r="DY330" s="32"/>
      <c r="DZ330" s="32"/>
      <c r="EA330" s="32"/>
      <c r="EB330" s="32"/>
      <c r="EC330" s="32"/>
    </row>
    <row r="331" spans="1:133" s="13" customFormat="1" ht="94.5" x14ac:dyDescent="0.25">
      <c r="A331" s="130" t="s">
        <v>533</v>
      </c>
      <c r="B331" s="133" t="s">
        <v>672</v>
      </c>
      <c r="C331" s="118" t="s">
        <v>673</v>
      </c>
      <c r="D331" s="127" t="s">
        <v>674</v>
      </c>
      <c r="E331" s="127">
        <v>0</v>
      </c>
      <c r="F331" s="127">
        <v>20</v>
      </c>
      <c r="G331" s="122" t="s">
        <v>679</v>
      </c>
      <c r="H331" s="122" t="s">
        <v>1462</v>
      </c>
      <c r="I331" s="103" t="s">
        <v>680</v>
      </c>
      <c r="J331" s="103" t="s">
        <v>1683</v>
      </c>
      <c r="K331" s="56">
        <v>0</v>
      </c>
      <c r="L331" s="86">
        <v>20</v>
      </c>
      <c r="M331" s="103" t="s">
        <v>1141</v>
      </c>
      <c r="N331" s="56" t="s">
        <v>164</v>
      </c>
      <c r="O331" s="54" t="s">
        <v>630</v>
      </c>
      <c r="P331" s="58" t="s">
        <v>39</v>
      </c>
      <c r="Q331" s="171" t="s">
        <v>1680</v>
      </c>
      <c r="R331" s="182">
        <v>0</v>
      </c>
      <c r="S331" s="178">
        <v>4</v>
      </c>
      <c r="T331" s="178">
        <v>6</v>
      </c>
      <c r="U331" s="183">
        <v>10</v>
      </c>
      <c r="V331" s="59"/>
      <c r="W331" s="60"/>
      <c r="X331" s="60"/>
      <c r="Y331" s="60"/>
      <c r="Z331" s="60"/>
      <c r="AA331" s="61"/>
      <c r="AB331" s="62">
        <v>200000000</v>
      </c>
      <c r="AC331" s="60"/>
      <c r="AD331" s="60"/>
      <c r="AE331" s="60"/>
      <c r="AF331" s="60"/>
      <c r="AG331" s="60"/>
      <c r="AH331" s="63"/>
      <c r="AI331" s="62">
        <v>324253314</v>
      </c>
      <c r="AJ331" s="60"/>
      <c r="AK331" s="60"/>
      <c r="AL331" s="60"/>
      <c r="AM331" s="60"/>
      <c r="AN331" s="60"/>
      <c r="AO331" s="63"/>
      <c r="AP331" s="62">
        <v>331048006</v>
      </c>
      <c r="AQ331" s="60"/>
      <c r="AR331" s="60"/>
      <c r="AS331" s="60"/>
      <c r="AT331" s="60"/>
      <c r="AU331" s="60"/>
      <c r="AV331" s="64"/>
      <c r="AW331" s="55">
        <f t="shared" si="28"/>
        <v>0</v>
      </c>
      <c r="AX331" s="55">
        <f t="shared" si="29"/>
        <v>200000000</v>
      </c>
      <c r="AY331" s="55">
        <f t="shared" si="30"/>
        <v>324253314</v>
      </c>
      <c r="AZ331" s="55">
        <f t="shared" si="31"/>
        <v>331048006</v>
      </c>
      <c r="BA331" s="55">
        <f t="shared" si="32"/>
        <v>855301320</v>
      </c>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c r="BY331" s="32"/>
      <c r="BZ331" s="32"/>
      <c r="CA331" s="32"/>
      <c r="CB331" s="32"/>
      <c r="CC331" s="32"/>
      <c r="CD331" s="32"/>
      <c r="CE331" s="32"/>
      <c r="CF331" s="32"/>
      <c r="CG331" s="32"/>
      <c r="CH331" s="32"/>
      <c r="CI331" s="32"/>
      <c r="CJ331" s="32"/>
      <c r="CK331" s="32"/>
      <c r="CL331" s="32"/>
      <c r="CM331" s="32"/>
      <c r="CN331" s="32"/>
      <c r="CO331" s="32"/>
      <c r="CP331" s="32"/>
      <c r="CQ331" s="32"/>
      <c r="CR331" s="32"/>
      <c r="CS331" s="32"/>
      <c r="CT331" s="32"/>
      <c r="CU331" s="32"/>
      <c r="CV331" s="32"/>
      <c r="CW331" s="32"/>
      <c r="CX331" s="32"/>
      <c r="CY331" s="32"/>
      <c r="CZ331" s="32"/>
      <c r="DA331" s="32"/>
      <c r="DB331" s="32"/>
      <c r="DC331" s="32"/>
      <c r="DD331" s="32"/>
      <c r="DE331" s="32"/>
      <c r="DF331" s="32"/>
      <c r="DG331" s="32"/>
      <c r="DH331" s="32"/>
      <c r="DI331" s="32"/>
      <c r="DJ331" s="32"/>
      <c r="DK331" s="32"/>
      <c r="DL331" s="32"/>
      <c r="DM331" s="32"/>
      <c r="DN331" s="32"/>
      <c r="DO331" s="32"/>
      <c r="DP331" s="32"/>
      <c r="DQ331" s="32"/>
      <c r="DR331" s="32"/>
      <c r="DS331" s="32"/>
      <c r="DT331" s="32"/>
      <c r="DU331" s="32"/>
      <c r="DV331" s="32"/>
      <c r="DW331" s="32"/>
      <c r="DX331" s="32"/>
      <c r="DY331" s="32"/>
      <c r="DZ331" s="32"/>
      <c r="EA331" s="32"/>
      <c r="EB331" s="32"/>
      <c r="EC331" s="32"/>
    </row>
    <row r="332" spans="1:133" s="13" customFormat="1" ht="110.25" x14ac:dyDescent="0.25">
      <c r="A332" s="130" t="s">
        <v>533</v>
      </c>
      <c r="B332" s="133" t="s">
        <v>672</v>
      </c>
      <c r="C332" s="118" t="s">
        <v>673</v>
      </c>
      <c r="D332" s="127" t="s">
        <v>674</v>
      </c>
      <c r="E332" s="127">
        <v>0</v>
      </c>
      <c r="F332" s="127">
        <v>20</v>
      </c>
      <c r="G332" s="122" t="s">
        <v>679</v>
      </c>
      <c r="H332" s="122" t="s">
        <v>1463</v>
      </c>
      <c r="I332" s="103" t="s">
        <v>681</v>
      </c>
      <c r="J332" s="103" t="s">
        <v>1683</v>
      </c>
      <c r="K332" s="56">
        <v>1</v>
      </c>
      <c r="L332" s="86">
        <v>2</v>
      </c>
      <c r="M332" s="103" t="s">
        <v>1141</v>
      </c>
      <c r="N332" s="56" t="s">
        <v>164</v>
      </c>
      <c r="O332" s="54" t="s">
        <v>630</v>
      </c>
      <c r="P332" s="58" t="s">
        <v>39</v>
      </c>
      <c r="Q332" s="171" t="s">
        <v>1680</v>
      </c>
      <c r="R332" s="182">
        <v>0</v>
      </c>
      <c r="S332" s="178">
        <v>1</v>
      </c>
      <c r="T332" s="178">
        <v>1</v>
      </c>
      <c r="U332" s="183">
        <v>0</v>
      </c>
      <c r="V332" s="59"/>
      <c r="W332" s="60"/>
      <c r="X332" s="60"/>
      <c r="Y332" s="60"/>
      <c r="Z332" s="60"/>
      <c r="AA332" s="61"/>
      <c r="AB332" s="62">
        <v>780000000</v>
      </c>
      <c r="AC332" s="60"/>
      <c r="AD332" s="60"/>
      <c r="AE332" s="60"/>
      <c r="AF332" s="60"/>
      <c r="AG332" s="60"/>
      <c r="AH332" s="63"/>
      <c r="AI332" s="62">
        <v>466169884</v>
      </c>
      <c r="AJ332" s="60"/>
      <c r="AK332" s="60"/>
      <c r="AL332" s="60"/>
      <c r="AM332" s="60"/>
      <c r="AN332" s="60"/>
      <c r="AO332" s="63"/>
      <c r="AP332" s="62">
        <v>0</v>
      </c>
      <c r="AQ332" s="60"/>
      <c r="AR332" s="60"/>
      <c r="AS332" s="60"/>
      <c r="AT332" s="60"/>
      <c r="AU332" s="60"/>
      <c r="AV332" s="64"/>
      <c r="AW332" s="55">
        <f t="shared" si="28"/>
        <v>0</v>
      </c>
      <c r="AX332" s="55">
        <f t="shared" si="29"/>
        <v>780000000</v>
      </c>
      <c r="AY332" s="55">
        <f t="shared" si="30"/>
        <v>466169884</v>
      </c>
      <c r="AZ332" s="55">
        <f t="shared" si="31"/>
        <v>0</v>
      </c>
      <c r="BA332" s="55">
        <f t="shared" si="32"/>
        <v>1246169884</v>
      </c>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c r="CP332" s="4"/>
      <c r="CQ332" s="4"/>
      <c r="CR332" s="4"/>
      <c r="CS332" s="4"/>
      <c r="CT332" s="4"/>
      <c r="CU332" s="4"/>
      <c r="CV332" s="4"/>
      <c r="CW332" s="4"/>
      <c r="CX332" s="4"/>
      <c r="CY332" s="4"/>
      <c r="CZ332" s="4"/>
      <c r="DA332" s="4"/>
      <c r="DB332" s="4"/>
      <c r="DC332" s="4"/>
      <c r="DD332" s="4"/>
      <c r="DE332" s="4"/>
      <c r="DF332" s="4"/>
      <c r="DG332" s="4"/>
      <c r="DH332" s="4"/>
      <c r="DI332" s="4"/>
      <c r="DJ332" s="4"/>
      <c r="DK332" s="4"/>
      <c r="DL332" s="4"/>
      <c r="DM332" s="4"/>
      <c r="DN332" s="4"/>
      <c r="DO332" s="4"/>
      <c r="DP332" s="4"/>
      <c r="DQ332" s="4"/>
      <c r="DR332" s="4"/>
      <c r="DS332" s="4"/>
      <c r="DT332" s="4"/>
      <c r="DU332" s="4"/>
      <c r="DV332" s="4"/>
      <c r="DW332" s="4"/>
      <c r="DX332" s="4"/>
      <c r="DY332" s="4"/>
      <c r="DZ332" s="4"/>
      <c r="EA332" s="4"/>
      <c r="EB332" s="4"/>
      <c r="EC332" s="4"/>
    </row>
    <row r="333" spans="1:133" s="13" customFormat="1" ht="94.5" x14ac:dyDescent="0.25">
      <c r="A333" s="130" t="s">
        <v>533</v>
      </c>
      <c r="B333" s="133" t="s">
        <v>672</v>
      </c>
      <c r="C333" s="118" t="s">
        <v>673</v>
      </c>
      <c r="D333" s="127" t="s">
        <v>674</v>
      </c>
      <c r="E333" s="127">
        <v>0</v>
      </c>
      <c r="F333" s="127">
        <v>20</v>
      </c>
      <c r="G333" s="122" t="s">
        <v>679</v>
      </c>
      <c r="H333" s="122" t="s">
        <v>1464</v>
      </c>
      <c r="I333" s="103" t="s">
        <v>682</v>
      </c>
      <c r="J333" s="103" t="s">
        <v>1683</v>
      </c>
      <c r="K333" s="56">
        <v>0</v>
      </c>
      <c r="L333" s="86">
        <v>2</v>
      </c>
      <c r="M333" s="103" t="s">
        <v>1141</v>
      </c>
      <c r="N333" s="56" t="s">
        <v>164</v>
      </c>
      <c r="O333" s="54" t="s">
        <v>630</v>
      </c>
      <c r="P333" s="58" t="s">
        <v>39</v>
      </c>
      <c r="Q333" s="171" t="s">
        <v>1680</v>
      </c>
      <c r="R333" s="182">
        <v>0</v>
      </c>
      <c r="S333" s="178">
        <v>0</v>
      </c>
      <c r="T333" s="178">
        <v>1</v>
      </c>
      <c r="U333" s="183">
        <v>1</v>
      </c>
      <c r="V333" s="59"/>
      <c r="W333" s="60"/>
      <c r="X333" s="60"/>
      <c r="Y333" s="60"/>
      <c r="Z333" s="60"/>
      <c r="AA333" s="61"/>
      <c r="AB333" s="62"/>
      <c r="AC333" s="60"/>
      <c r="AD333" s="60"/>
      <c r="AE333" s="60"/>
      <c r="AF333" s="60"/>
      <c r="AG333" s="60"/>
      <c r="AH333" s="63"/>
      <c r="AI333" s="62">
        <v>291332383</v>
      </c>
      <c r="AJ333" s="60"/>
      <c r="AK333" s="60"/>
      <c r="AL333" s="60"/>
      <c r="AM333" s="60"/>
      <c r="AN333" s="60"/>
      <c r="AO333" s="63"/>
      <c r="AP333" s="62">
        <f>1286569334+1467522390</f>
        <v>2754091724</v>
      </c>
      <c r="AQ333" s="60"/>
      <c r="AR333" s="60"/>
      <c r="AS333" s="60"/>
      <c r="AT333" s="60"/>
      <c r="AU333" s="60"/>
      <c r="AV333" s="64"/>
      <c r="AW333" s="55">
        <f t="shared" si="28"/>
        <v>0</v>
      </c>
      <c r="AX333" s="55">
        <f t="shared" si="29"/>
        <v>0</v>
      </c>
      <c r="AY333" s="55">
        <f t="shared" si="30"/>
        <v>291332383</v>
      </c>
      <c r="AZ333" s="55">
        <f t="shared" si="31"/>
        <v>2754091724</v>
      </c>
      <c r="BA333" s="55">
        <f t="shared" si="32"/>
        <v>3045424107</v>
      </c>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c r="BY333" s="32"/>
      <c r="BZ333" s="32"/>
      <c r="CA333" s="32"/>
      <c r="CB333" s="32"/>
      <c r="CC333" s="32"/>
      <c r="CD333" s="32"/>
      <c r="CE333" s="32"/>
      <c r="CF333" s="32"/>
      <c r="CG333" s="32"/>
      <c r="CH333" s="32"/>
      <c r="CI333" s="32"/>
      <c r="CJ333" s="32"/>
      <c r="CK333" s="32"/>
      <c r="CL333" s="32"/>
      <c r="CM333" s="32"/>
      <c r="CN333" s="32"/>
      <c r="CO333" s="32"/>
      <c r="CP333" s="32"/>
      <c r="CQ333" s="32"/>
      <c r="CR333" s="32"/>
      <c r="CS333" s="32"/>
      <c r="CT333" s="32"/>
      <c r="CU333" s="32"/>
      <c r="CV333" s="32"/>
      <c r="CW333" s="32"/>
      <c r="CX333" s="32"/>
      <c r="CY333" s="32"/>
      <c r="CZ333" s="32"/>
      <c r="DA333" s="32"/>
      <c r="DB333" s="32"/>
      <c r="DC333" s="32"/>
      <c r="DD333" s="32"/>
      <c r="DE333" s="32"/>
      <c r="DF333" s="32"/>
      <c r="DG333" s="32"/>
      <c r="DH333" s="32"/>
      <c r="DI333" s="32"/>
      <c r="DJ333" s="32"/>
      <c r="DK333" s="32"/>
      <c r="DL333" s="32"/>
      <c r="DM333" s="32"/>
      <c r="DN333" s="32"/>
      <c r="DO333" s="32"/>
      <c r="DP333" s="32"/>
      <c r="DQ333" s="32"/>
      <c r="DR333" s="32"/>
      <c r="DS333" s="32"/>
      <c r="DT333" s="32"/>
      <c r="DU333" s="32"/>
      <c r="DV333" s="32"/>
      <c r="DW333" s="32"/>
      <c r="DX333" s="32"/>
      <c r="DY333" s="32"/>
      <c r="DZ333" s="32"/>
      <c r="EA333" s="32"/>
      <c r="EB333" s="32"/>
      <c r="EC333" s="32"/>
    </row>
    <row r="334" spans="1:133" s="13" customFormat="1" ht="126" x14ac:dyDescent="0.25">
      <c r="A334" s="130" t="s">
        <v>533</v>
      </c>
      <c r="B334" s="133" t="s">
        <v>672</v>
      </c>
      <c r="C334" s="118" t="s">
        <v>673</v>
      </c>
      <c r="D334" s="127" t="s">
        <v>683</v>
      </c>
      <c r="E334" s="127">
        <v>1</v>
      </c>
      <c r="F334" s="56">
        <v>2</v>
      </c>
      <c r="G334" s="122" t="s">
        <v>684</v>
      </c>
      <c r="H334" s="122" t="s">
        <v>1465</v>
      </c>
      <c r="I334" s="103" t="s">
        <v>685</v>
      </c>
      <c r="J334" s="103" t="s">
        <v>1683</v>
      </c>
      <c r="K334" s="56">
        <v>0</v>
      </c>
      <c r="L334" s="86">
        <v>1</v>
      </c>
      <c r="M334" s="103" t="s">
        <v>1141</v>
      </c>
      <c r="N334" s="56" t="s">
        <v>164</v>
      </c>
      <c r="O334" s="54" t="s">
        <v>630</v>
      </c>
      <c r="P334" s="58" t="s">
        <v>39</v>
      </c>
      <c r="Q334" s="171" t="s">
        <v>1680</v>
      </c>
      <c r="R334" s="182">
        <v>0</v>
      </c>
      <c r="S334" s="178">
        <v>0</v>
      </c>
      <c r="T334" s="178">
        <v>1</v>
      </c>
      <c r="U334" s="183">
        <v>0</v>
      </c>
      <c r="V334" s="59"/>
      <c r="W334" s="60"/>
      <c r="X334" s="60"/>
      <c r="Y334" s="60"/>
      <c r="Z334" s="60"/>
      <c r="AA334" s="61"/>
      <c r="AB334" s="62"/>
      <c r="AC334" s="60"/>
      <c r="AD334" s="60"/>
      <c r="AE334" s="60"/>
      <c r="AF334" s="60"/>
      <c r="AG334" s="60"/>
      <c r="AH334" s="63"/>
      <c r="AI334" s="62">
        <v>438939862</v>
      </c>
      <c r="AJ334" s="60"/>
      <c r="AK334" s="60"/>
      <c r="AL334" s="60"/>
      <c r="AM334" s="60"/>
      <c r="AN334" s="60"/>
      <c r="AO334" s="63"/>
      <c r="AP334" s="62"/>
      <c r="AQ334" s="60"/>
      <c r="AR334" s="60"/>
      <c r="AS334" s="60"/>
      <c r="AT334" s="60"/>
      <c r="AU334" s="60"/>
      <c r="AV334" s="64"/>
      <c r="AW334" s="55">
        <f t="shared" si="28"/>
        <v>0</v>
      </c>
      <c r="AX334" s="55">
        <f t="shared" si="29"/>
        <v>0</v>
      </c>
      <c r="AY334" s="55">
        <f t="shared" si="30"/>
        <v>438939862</v>
      </c>
      <c r="AZ334" s="55">
        <f t="shared" si="31"/>
        <v>0</v>
      </c>
      <c r="BA334" s="55">
        <f t="shared" si="32"/>
        <v>438939862</v>
      </c>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row>
    <row r="335" spans="1:133" s="13" customFormat="1" ht="126" x14ac:dyDescent="0.25">
      <c r="A335" s="130" t="s">
        <v>533</v>
      </c>
      <c r="B335" s="133" t="s">
        <v>672</v>
      </c>
      <c r="C335" s="118" t="s">
        <v>673</v>
      </c>
      <c r="D335" s="127" t="s">
        <v>683</v>
      </c>
      <c r="E335" s="127">
        <v>1</v>
      </c>
      <c r="F335" s="56">
        <v>2</v>
      </c>
      <c r="G335" s="122" t="s">
        <v>684</v>
      </c>
      <c r="H335" s="122" t="s">
        <v>1466</v>
      </c>
      <c r="I335" s="103" t="s">
        <v>686</v>
      </c>
      <c r="J335" s="103" t="s">
        <v>1683</v>
      </c>
      <c r="K335" s="56">
        <v>0</v>
      </c>
      <c r="L335" s="86">
        <v>4</v>
      </c>
      <c r="M335" s="103" t="s">
        <v>1141</v>
      </c>
      <c r="N335" s="56" t="s">
        <v>164</v>
      </c>
      <c r="O335" s="54" t="s">
        <v>630</v>
      </c>
      <c r="P335" s="58" t="s">
        <v>39</v>
      </c>
      <c r="Q335" s="171" t="s">
        <v>1680</v>
      </c>
      <c r="R335" s="182">
        <v>0</v>
      </c>
      <c r="S335" s="178">
        <v>1</v>
      </c>
      <c r="T335" s="178">
        <v>2</v>
      </c>
      <c r="U335" s="183">
        <v>1</v>
      </c>
      <c r="V335" s="59"/>
      <c r="W335" s="60"/>
      <c r="X335" s="60"/>
      <c r="Y335" s="60"/>
      <c r="Z335" s="60"/>
      <c r="AA335" s="61"/>
      <c r="AB335" s="62">
        <v>756265604</v>
      </c>
      <c r="AC335" s="60"/>
      <c r="AD335" s="60"/>
      <c r="AE335" s="60"/>
      <c r="AF335" s="60"/>
      <c r="AG335" s="60"/>
      <c r="AH335" s="63"/>
      <c r="AI335" s="62">
        <v>357098694</v>
      </c>
      <c r="AJ335" s="60"/>
      <c r="AK335" s="60"/>
      <c r="AL335" s="60"/>
      <c r="AM335" s="60"/>
      <c r="AN335" s="60"/>
      <c r="AO335" s="63"/>
      <c r="AP335" s="62">
        <v>819335595</v>
      </c>
      <c r="AQ335" s="60"/>
      <c r="AR335" s="60"/>
      <c r="AS335" s="60"/>
      <c r="AT335" s="60"/>
      <c r="AU335" s="60"/>
      <c r="AV335" s="64"/>
      <c r="AW335" s="55">
        <f t="shared" si="28"/>
        <v>0</v>
      </c>
      <c r="AX335" s="55">
        <f t="shared" si="29"/>
        <v>756265604</v>
      </c>
      <c r="AY335" s="55">
        <f t="shared" si="30"/>
        <v>357098694</v>
      </c>
      <c r="AZ335" s="55">
        <f t="shared" si="31"/>
        <v>819335595</v>
      </c>
      <c r="BA335" s="55">
        <f t="shared" si="32"/>
        <v>1932699893</v>
      </c>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c r="EC335" s="32"/>
    </row>
    <row r="336" spans="1:133" s="13" customFormat="1" ht="126" x14ac:dyDescent="0.25">
      <c r="A336" s="130" t="s">
        <v>533</v>
      </c>
      <c r="B336" s="133" t="s">
        <v>672</v>
      </c>
      <c r="C336" s="118" t="s">
        <v>673</v>
      </c>
      <c r="D336" s="127" t="s">
        <v>683</v>
      </c>
      <c r="E336" s="127">
        <v>1</v>
      </c>
      <c r="F336" s="56">
        <v>2</v>
      </c>
      <c r="G336" s="122" t="s">
        <v>684</v>
      </c>
      <c r="H336" s="122" t="s">
        <v>1467</v>
      </c>
      <c r="I336" s="103" t="s">
        <v>687</v>
      </c>
      <c r="J336" s="103" t="s">
        <v>1683</v>
      </c>
      <c r="K336" s="56">
        <v>0</v>
      </c>
      <c r="L336" s="86">
        <v>5</v>
      </c>
      <c r="M336" s="103" t="s">
        <v>1141</v>
      </c>
      <c r="N336" s="56" t="s">
        <v>164</v>
      </c>
      <c r="O336" s="54" t="s">
        <v>630</v>
      </c>
      <c r="P336" s="58" t="s">
        <v>39</v>
      </c>
      <c r="Q336" s="171" t="s">
        <v>1680</v>
      </c>
      <c r="R336" s="182">
        <v>0</v>
      </c>
      <c r="S336" s="178">
        <v>0</v>
      </c>
      <c r="T336" s="178">
        <v>3</v>
      </c>
      <c r="U336" s="183">
        <v>2</v>
      </c>
      <c r="V336" s="59"/>
      <c r="W336" s="60"/>
      <c r="X336" s="60"/>
      <c r="Y336" s="60"/>
      <c r="Z336" s="60"/>
      <c r="AA336" s="61"/>
      <c r="AB336" s="62"/>
      <c r="AC336" s="60"/>
      <c r="AD336" s="60"/>
      <c r="AE336" s="60"/>
      <c r="AF336" s="60"/>
      <c r="AG336" s="60"/>
      <c r="AH336" s="63"/>
      <c r="AI336" s="62">
        <v>285717025</v>
      </c>
      <c r="AJ336" s="60"/>
      <c r="AK336" s="60"/>
      <c r="AL336" s="60"/>
      <c r="AM336" s="60"/>
      <c r="AN336" s="60"/>
      <c r="AO336" s="63"/>
      <c r="AP336" s="62">
        <v>295710982</v>
      </c>
      <c r="AQ336" s="60"/>
      <c r="AR336" s="60"/>
      <c r="AS336" s="60"/>
      <c r="AT336" s="60"/>
      <c r="AU336" s="60"/>
      <c r="AV336" s="64"/>
      <c r="AW336" s="55">
        <f t="shared" si="28"/>
        <v>0</v>
      </c>
      <c r="AX336" s="55">
        <f t="shared" si="29"/>
        <v>0</v>
      </c>
      <c r="AY336" s="55">
        <f t="shared" si="30"/>
        <v>285717025</v>
      </c>
      <c r="AZ336" s="55">
        <f t="shared" si="31"/>
        <v>295710982</v>
      </c>
      <c r="BA336" s="55">
        <f t="shared" si="32"/>
        <v>581428007</v>
      </c>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row>
    <row r="337" spans="1:133" s="13" customFormat="1" ht="141.75" x14ac:dyDescent="0.25">
      <c r="A337" s="130" t="s">
        <v>533</v>
      </c>
      <c r="B337" s="133" t="s">
        <v>672</v>
      </c>
      <c r="C337" s="56" t="s">
        <v>688</v>
      </c>
      <c r="D337" s="127" t="s">
        <v>683</v>
      </c>
      <c r="E337" s="127">
        <v>1</v>
      </c>
      <c r="F337" s="56">
        <v>2</v>
      </c>
      <c r="G337" s="123" t="s">
        <v>689</v>
      </c>
      <c r="H337" s="123" t="s">
        <v>1468</v>
      </c>
      <c r="I337" s="103" t="s">
        <v>690</v>
      </c>
      <c r="J337" s="103" t="s">
        <v>1682</v>
      </c>
      <c r="K337" s="178">
        <v>0</v>
      </c>
      <c r="L337" s="179">
        <v>100</v>
      </c>
      <c r="M337" s="103" t="s">
        <v>1141</v>
      </c>
      <c r="N337" s="56" t="s">
        <v>164</v>
      </c>
      <c r="O337" s="54" t="s">
        <v>630</v>
      </c>
      <c r="P337" s="58" t="s">
        <v>39</v>
      </c>
      <c r="Q337" s="171" t="s">
        <v>1680</v>
      </c>
      <c r="R337" s="182">
        <v>0</v>
      </c>
      <c r="S337" s="178">
        <v>0</v>
      </c>
      <c r="T337" s="178">
        <v>50</v>
      </c>
      <c r="U337" s="183">
        <v>50</v>
      </c>
      <c r="V337" s="59"/>
      <c r="W337" s="60"/>
      <c r="X337" s="60"/>
      <c r="Y337" s="60"/>
      <c r="Z337" s="60"/>
      <c r="AA337" s="61"/>
      <c r="AB337" s="62">
        <v>350000000</v>
      </c>
      <c r="AC337" s="60"/>
      <c r="AD337" s="60"/>
      <c r="AE337" s="60"/>
      <c r="AF337" s="60"/>
      <c r="AG337" s="60"/>
      <c r="AH337" s="63"/>
      <c r="AI337" s="62">
        <v>56908343</v>
      </c>
      <c r="AJ337" s="60"/>
      <c r="AK337" s="60"/>
      <c r="AL337" s="60"/>
      <c r="AM337" s="60"/>
      <c r="AN337" s="60"/>
      <c r="AO337" s="63"/>
      <c r="AP337" s="62">
        <v>69392466</v>
      </c>
      <c r="AQ337" s="60"/>
      <c r="AR337" s="60"/>
      <c r="AS337" s="60"/>
      <c r="AT337" s="60"/>
      <c r="AU337" s="60"/>
      <c r="AV337" s="64"/>
      <c r="AW337" s="55">
        <f t="shared" si="28"/>
        <v>0</v>
      </c>
      <c r="AX337" s="55">
        <f t="shared" si="29"/>
        <v>350000000</v>
      </c>
      <c r="AY337" s="55">
        <f t="shared" si="30"/>
        <v>56908343</v>
      </c>
      <c r="AZ337" s="55">
        <f t="shared" si="31"/>
        <v>69392466</v>
      </c>
      <c r="BA337" s="55">
        <f t="shared" si="32"/>
        <v>476300809</v>
      </c>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row>
    <row r="338" spans="1:133" s="13" customFormat="1" ht="141.75" x14ac:dyDescent="0.25">
      <c r="A338" s="130" t="s">
        <v>533</v>
      </c>
      <c r="B338" s="133" t="s">
        <v>672</v>
      </c>
      <c r="C338" s="56" t="s">
        <v>688</v>
      </c>
      <c r="D338" s="127" t="s">
        <v>683</v>
      </c>
      <c r="E338" s="127">
        <v>1</v>
      </c>
      <c r="F338" s="56">
        <v>2</v>
      </c>
      <c r="G338" s="123" t="s">
        <v>689</v>
      </c>
      <c r="H338" s="123" t="s">
        <v>1469</v>
      </c>
      <c r="I338" s="103" t="s">
        <v>691</v>
      </c>
      <c r="J338" s="103" t="s">
        <v>1682</v>
      </c>
      <c r="K338" s="178">
        <v>80</v>
      </c>
      <c r="L338" s="179">
        <v>100</v>
      </c>
      <c r="M338" s="103" t="s">
        <v>1141</v>
      </c>
      <c r="N338" s="56" t="s">
        <v>164</v>
      </c>
      <c r="O338" s="54" t="s">
        <v>630</v>
      </c>
      <c r="P338" s="58" t="s">
        <v>39</v>
      </c>
      <c r="Q338" s="171" t="s">
        <v>1680</v>
      </c>
      <c r="R338" s="182">
        <v>0</v>
      </c>
      <c r="S338" s="178">
        <v>10</v>
      </c>
      <c r="T338" s="178">
        <v>10</v>
      </c>
      <c r="U338" s="183">
        <v>0</v>
      </c>
      <c r="V338" s="59"/>
      <c r="W338" s="60"/>
      <c r="X338" s="60"/>
      <c r="Y338" s="60"/>
      <c r="Z338" s="60"/>
      <c r="AA338" s="61"/>
      <c r="AB338" s="62">
        <v>200000000</v>
      </c>
      <c r="AC338" s="60"/>
      <c r="AD338" s="60"/>
      <c r="AE338" s="60"/>
      <c r="AF338" s="60"/>
      <c r="AG338" s="60"/>
      <c r="AH338" s="63"/>
      <c r="AI338" s="62">
        <v>100000000</v>
      </c>
      <c r="AJ338" s="60"/>
      <c r="AK338" s="60"/>
      <c r="AL338" s="60"/>
      <c r="AM338" s="60"/>
      <c r="AN338" s="60"/>
      <c r="AO338" s="63"/>
      <c r="AP338" s="62"/>
      <c r="AQ338" s="60"/>
      <c r="AR338" s="60"/>
      <c r="AS338" s="60"/>
      <c r="AT338" s="60"/>
      <c r="AU338" s="60"/>
      <c r="AV338" s="64"/>
      <c r="AW338" s="55">
        <f t="shared" si="28"/>
        <v>0</v>
      </c>
      <c r="AX338" s="55">
        <f t="shared" si="29"/>
        <v>200000000</v>
      </c>
      <c r="AY338" s="55">
        <f t="shared" si="30"/>
        <v>100000000</v>
      </c>
      <c r="AZ338" s="55">
        <f t="shared" si="31"/>
        <v>0</v>
      </c>
      <c r="BA338" s="55">
        <f t="shared" si="32"/>
        <v>300000000</v>
      </c>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c r="CP338" s="4"/>
      <c r="CQ338" s="4"/>
      <c r="CR338" s="4"/>
      <c r="CS338" s="4"/>
      <c r="CT338" s="4"/>
      <c r="CU338" s="4"/>
      <c r="CV338" s="4"/>
      <c r="CW338" s="4"/>
      <c r="CX338" s="4"/>
      <c r="CY338" s="4"/>
      <c r="CZ338" s="4"/>
      <c r="DA338" s="4"/>
      <c r="DB338" s="4"/>
      <c r="DC338" s="4"/>
      <c r="DD338" s="4"/>
      <c r="DE338" s="4"/>
      <c r="DF338" s="4"/>
      <c r="DG338" s="4"/>
      <c r="DH338" s="4"/>
      <c r="DI338" s="4"/>
      <c r="DJ338" s="4"/>
      <c r="DK338" s="4"/>
      <c r="DL338" s="4"/>
      <c r="DM338" s="4"/>
      <c r="DN338" s="4"/>
      <c r="DO338" s="4"/>
      <c r="DP338" s="4"/>
      <c r="DQ338" s="4"/>
      <c r="DR338" s="4"/>
      <c r="DS338" s="4"/>
      <c r="DT338" s="4"/>
      <c r="DU338" s="4"/>
      <c r="DV338" s="4"/>
      <c r="DW338" s="4"/>
      <c r="DX338" s="4"/>
      <c r="DY338" s="4"/>
      <c r="DZ338" s="4"/>
      <c r="EA338" s="4"/>
      <c r="EB338" s="4"/>
      <c r="EC338" s="4"/>
    </row>
    <row r="339" spans="1:133" s="13" customFormat="1" ht="141.75" x14ac:dyDescent="0.25">
      <c r="A339" s="130" t="s">
        <v>533</v>
      </c>
      <c r="B339" s="133" t="s">
        <v>672</v>
      </c>
      <c r="C339" s="56" t="s">
        <v>688</v>
      </c>
      <c r="D339" s="127" t="s">
        <v>683</v>
      </c>
      <c r="E339" s="127">
        <v>1</v>
      </c>
      <c r="F339" s="56">
        <v>2</v>
      </c>
      <c r="G339" s="123" t="s">
        <v>689</v>
      </c>
      <c r="H339" s="123" t="s">
        <v>1470</v>
      </c>
      <c r="I339" s="103" t="s">
        <v>692</v>
      </c>
      <c r="J339" s="103" t="s">
        <v>1682</v>
      </c>
      <c r="K339" s="178">
        <v>0</v>
      </c>
      <c r="L339" s="179">
        <v>100</v>
      </c>
      <c r="M339" s="103" t="s">
        <v>1141</v>
      </c>
      <c r="N339" s="56" t="s">
        <v>164</v>
      </c>
      <c r="O339" s="54" t="s">
        <v>630</v>
      </c>
      <c r="P339" s="58" t="s">
        <v>39</v>
      </c>
      <c r="Q339" s="171" t="s">
        <v>1680</v>
      </c>
      <c r="R339" s="182">
        <v>0</v>
      </c>
      <c r="S339" s="178">
        <v>0</v>
      </c>
      <c r="T339" s="178">
        <v>50</v>
      </c>
      <c r="U339" s="183">
        <v>50</v>
      </c>
      <c r="V339" s="59"/>
      <c r="W339" s="60"/>
      <c r="X339" s="60"/>
      <c r="Y339" s="60"/>
      <c r="Z339" s="60"/>
      <c r="AA339" s="61"/>
      <c r="AB339" s="62">
        <v>0</v>
      </c>
      <c r="AC339" s="60"/>
      <c r="AD339" s="60"/>
      <c r="AE339" s="60"/>
      <c r="AF339" s="60"/>
      <c r="AG339" s="60"/>
      <c r="AH339" s="63"/>
      <c r="AI339" s="62">
        <v>200000000</v>
      </c>
      <c r="AJ339" s="60"/>
      <c r="AK339" s="60"/>
      <c r="AL339" s="60"/>
      <c r="AM339" s="60"/>
      <c r="AN339" s="60"/>
      <c r="AO339" s="63"/>
      <c r="AP339" s="62">
        <v>100000000</v>
      </c>
      <c r="AQ339" s="60"/>
      <c r="AR339" s="60"/>
      <c r="AS339" s="60"/>
      <c r="AT339" s="60"/>
      <c r="AU339" s="60"/>
      <c r="AV339" s="64"/>
      <c r="AW339" s="55">
        <f t="shared" si="28"/>
        <v>0</v>
      </c>
      <c r="AX339" s="55">
        <f t="shared" si="29"/>
        <v>0</v>
      </c>
      <c r="AY339" s="55">
        <f t="shared" si="30"/>
        <v>200000000</v>
      </c>
      <c r="AZ339" s="55">
        <f t="shared" si="31"/>
        <v>100000000</v>
      </c>
      <c r="BA339" s="55">
        <f t="shared" si="32"/>
        <v>300000000</v>
      </c>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c r="CP339" s="4"/>
      <c r="CQ339" s="4"/>
      <c r="CR339" s="4"/>
      <c r="CS339" s="4"/>
      <c r="CT339" s="4"/>
      <c r="CU339" s="4"/>
      <c r="CV339" s="4"/>
      <c r="CW339" s="4"/>
      <c r="CX339" s="4"/>
      <c r="CY339" s="4"/>
      <c r="CZ339" s="4"/>
      <c r="DA339" s="4"/>
      <c r="DB339" s="4"/>
      <c r="DC339" s="4"/>
      <c r="DD339" s="4"/>
      <c r="DE339" s="4"/>
      <c r="DF339" s="4"/>
      <c r="DG339" s="4"/>
      <c r="DH339" s="4"/>
      <c r="DI339" s="4"/>
      <c r="DJ339" s="4"/>
      <c r="DK339" s="4"/>
      <c r="DL339" s="4"/>
      <c r="DM339" s="4"/>
      <c r="DN339" s="4"/>
      <c r="DO339" s="4"/>
      <c r="DP339" s="4"/>
      <c r="DQ339" s="4"/>
      <c r="DR339" s="4"/>
      <c r="DS339" s="4"/>
      <c r="DT339" s="4"/>
      <c r="DU339" s="4"/>
      <c r="DV339" s="4"/>
      <c r="DW339" s="4"/>
      <c r="DX339" s="4"/>
      <c r="DY339" s="4"/>
      <c r="DZ339" s="4"/>
      <c r="EA339" s="4"/>
      <c r="EB339" s="4"/>
      <c r="EC339" s="4"/>
    </row>
    <row r="340" spans="1:133" s="13" customFormat="1" ht="141.75" x14ac:dyDescent="0.25">
      <c r="A340" s="130" t="s">
        <v>533</v>
      </c>
      <c r="B340" s="133" t="s">
        <v>672</v>
      </c>
      <c r="C340" s="56" t="s">
        <v>688</v>
      </c>
      <c r="D340" s="127" t="s">
        <v>683</v>
      </c>
      <c r="E340" s="127">
        <v>1</v>
      </c>
      <c r="F340" s="56">
        <v>2</v>
      </c>
      <c r="G340" s="123" t="s">
        <v>689</v>
      </c>
      <c r="H340" s="123" t="s">
        <v>1471</v>
      </c>
      <c r="I340" s="103" t="s">
        <v>693</v>
      </c>
      <c r="J340" s="103" t="s">
        <v>1683</v>
      </c>
      <c r="K340" s="56">
        <v>0</v>
      </c>
      <c r="L340" s="86">
        <v>2</v>
      </c>
      <c r="M340" s="103" t="s">
        <v>1141</v>
      </c>
      <c r="N340" s="56" t="s">
        <v>164</v>
      </c>
      <c r="O340" s="54" t="s">
        <v>630</v>
      </c>
      <c r="P340" s="58" t="s">
        <v>39</v>
      </c>
      <c r="Q340" s="171" t="s">
        <v>1680</v>
      </c>
      <c r="R340" s="182">
        <v>0</v>
      </c>
      <c r="S340" s="178">
        <v>0</v>
      </c>
      <c r="T340" s="178">
        <v>1</v>
      </c>
      <c r="U340" s="183">
        <v>1</v>
      </c>
      <c r="V340" s="59"/>
      <c r="W340" s="60"/>
      <c r="X340" s="60"/>
      <c r="Y340" s="60"/>
      <c r="Z340" s="60"/>
      <c r="AA340" s="61"/>
      <c r="AB340" s="62">
        <v>150000000</v>
      </c>
      <c r="AC340" s="60"/>
      <c r="AD340" s="60"/>
      <c r="AE340" s="60"/>
      <c r="AF340" s="60"/>
      <c r="AG340" s="60"/>
      <c r="AH340" s="63"/>
      <c r="AI340" s="62">
        <v>0</v>
      </c>
      <c r="AJ340" s="60"/>
      <c r="AK340" s="60"/>
      <c r="AL340" s="60"/>
      <c r="AM340" s="60"/>
      <c r="AN340" s="60"/>
      <c r="AO340" s="63"/>
      <c r="AP340" s="62">
        <v>100000000</v>
      </c>
      <c r="AQ340" s="60"/>
      <c r="AR340" s="60"/>
      <c r="AS340" s="60"/>
      <c r="AT340" s="60"/>
      <c r="AU340" s="60"/>
      <c r="AV340" s="64"/>
      <c r="AW340" s="55">
        <f t="shared" si="28"/>
        <v>0</v>
      </c>
      <c r="AX340" s="55">
        <f t="shared" si="29"/>
        <v>150000000</v>
      </c>
      <c r="AY340" s="55">
        <f t="shared" si="30"/>
        <v>0</v>
      </c>
      <c r="AZ340" s="55">
        <f t="shared" si="31"/>
        <v>100000000</v>
      </c>
      <c r="BA340" s="55">
        <f t="shared" si="32"/>
        <v>250000000</v>
      </c>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c r="CP340" s="4"/>
      <c r="CQ340" s="4"/>
      <c r="CR340" s="4"/>
      <c r="CS340" s="4"/>
      <c r="CT340" s="4"/>
      <c r="CU340" s="4"/>
      <c r="CV340" s="4"/>
      <c r="CW340" s="4"/>
      <c r="CX340" s="4"/>
      <c r="CY340" s="4"/>
      <c r="CZ340" s="4"/>
      <c r="DA340" s="4"/>
      <c r="DB340" s="4"/>
      <c r="DC340" s="4"/>
      <c r="DD340" s="4"/>
      <c r="DE340" s="4"/>
      <c r="DF340" s="4"/>
      <c r="DG340" s="4"/>
      <c r="DH340" s="4"/>
      <c r="DI340" s="4"/>
      <c r="DJ340" s="4"/>
      <c r="DK340" s="4"/>
      <c r="DL340" s="4"/>
      <c r="DM340" s="4"/>
      <c r="DN340" s="4"/>
      <c r="DO340" s="4"/>
      <c r="DP340" s="4"/>
      <c r="DQ340" s="4"/>
      <c r="DR340" s="4"/>
      <c r="DS340" s="4"/>
      <c r="DT340" s="4"/>
      <c r="DU340" s="4"/>
      <c r="DV340" s="4"/>
      <c r="DW340" s="4"/>
      <c r="DX340" s="4"/>
      <c r="DY340" s="4"/>
      <c r="DZ340" s="4"/>
      <c r="EA340" s="4"/>
      <c r="EB340" s="4"/>
      <c r="EC340" s="4"/>
    </row>
    <row r="341" spans="1:133" s="13" customFormat="1" ht="126" x14ac:dyDescent="0.25">
      <c r="A341" s="130" t="s">
        <v>533</v>
      </c>
      <c r="B341" s="133" t="s">
        <v>672</v>
      </c>
      <c r="C341" s="56" t="s">
        <v>688</v>
      </c>
      <c r="D341" s="110" t="s">
        <v>694</v>
      </c>
      <c r="E341" s="110">
        <v>1</v>
      </c>
      <c r="F341" s="110">
        <v>3</v>
      </c>
      <c r="G341" s="123" t="s">
        <v>695</v>
      </c>
      <c r="H341" s="123" t="s">
        <v>1472</v>
      </c>
      <c r="I341" s="103" t="s">
        <v>696</v>
      </c>
      <c r="J341" s="103" t="s">
        <v>1683</v>
      </c>
      <c r="K341" s="56">
        <v>0</v>
      </c>
      <c r="L341" s="86">
        <v>1</v>
      </c>
      <c r="M341" s="103" t="s">
        <v>1141</v>
      </c>
      <c r="N341" s="56" t="s">
        <v>164</v>
      </c>
      <c r="O341" s="54" t="s">
        <v>630</v>
      </c>
      <c r="P341" s="58" t="s">
        <v>39</v>
      </c>
      <c r="Q341" s="171" t="s">
        <v>1680</v>
      </c>
      <c r="R341" s="182">
        <v>0</v>
      </c>
      <c r="S341" s="178">
        <v>0</v>
      </c>
      <c r="T341" s="178">
        <v>1</v>
      </c>
      <c r="U341" s="183">
        <v>0</v>
      </c>
      <c r="V341" s="59"/>
      <c r="W341" s="60"/>
      <c r="X341" s="60"/>
      <c r="Y341" s="60"/>
      <c r="Z341" s="60"/>
      <c r="AA341" s="61"/>
      <c r="AB341" s="62">
        <v>0</v>
      </c>
      <c r="AC341" s="60"/>
      <c r="AD341" s="60"/>
      <c r="AE341" s="60"/>
      <c r="AF341" s="60"/>
      <c r="AG341" s="60"/>
      <c r="AH341" s="63"/>
      <c r="AI341" s="62">
        <f>356908343-170000000+100000000</f>
        <v>286908343</v>
      </c>
      <c r="AJ341" s="60"/>
      <c r="AK341" s="60"/>
      <c r="AL341" s="60"/>
      <c r="AM341" s="60"/>
      <c r="AN341" s="60"/>
      <c r="AO341" s="63"/>
      <c r="AP341" s="62"/>
      <c r="AQ341" s="60"/>
      <c r="AR341" s="60"/>
      <c r="AS341" s="60"/>
      <c r="AT341" s="60"/>
      <c r="AU341" s="60"/>
      <c r="AV341" s="64"/>
      <c r="AW341" s="55">
        <f t="shared" si="28"/>
        <v>0</v>
      </c>
      <c r="AX341" s="55">
        <f t="shared" si="29"/>
        <v>0</v>
      </c>
      <c r="AY341" s="55">
        <f t="shared" si="30"/>
        <v>286908343</v>
      </c>
      <c r="AZ341" s="55">
        <f t="shared" si="31"/>
        <v>0</v>
      </c>
      <c r="BA341" s="55">
        <f t="shared" si="32"/>
        <v>286908343</v>
      </c>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c r="CP341" s="4"/>
      <c r="CQ341" s="4"/>
      <c r="CR341" s="4"/>
      <c r="CS341" s="4"/>
      <c r="CT341" s="4"/>
      <c r="CU341" s="4"/>
      <c r="CV341" s="4"/>
      <c r="CW341" s="4"/>
      <c r="CX341" s="4"/>
      <c r="CY341" s="4"/>
      <c r="CZ341" s="4"/>
      <c r="DA341" s="4"/>
      <c r="DB341" s="4"/>
      <c r="DC341" s="4"/>
      <c r="DD341" s="4"/>
      <c r="DE341" s="4"/>
      <c r="DF341" s="4"/>
      <c r="DG341" s="4"/>
      <c r="DH341" s="4"/>
      <c r="DI341" s="4"/>
      <c r="DJ341" s="4"/>
      <c r="DK341" s="4"/>
      <c r="DL341" s="4"/>
      <c r="DM341" s="4"/>
      <c r="DN341" s="4"/>
      <c r="DO341" s="4"/>
      <c r="DP341" s="4"/>
      <c r="DQ341" s="4"/>
      <c r="DR341" s="4"/>
      <c r="DS341" s="4"/>
      <c r="DT341" s="4"/>
      <c r="DU341" s="4"/>
      <c r="DV341" s="4"/>
      <c r="DW341" s="4"/>
      <c r="DX341" s="4"/>
      <c r="DY341" s="4"/>
      <c r="DZ341" s="4"/>
      <c r="EA341" s="4"/>
      <c r="EB341" s="4"/>
      <c r="EC341" s="4"/>
    </row>
    <row r="342" spans="1:133" s="13" customFormat="1" ht="110.25" x14ac:dyDescent="0.25">
      <c r="A342" s="130" t="s">
        <v>533</v>
      </c>
      <c r="B342" s="133" t="s">
        <v>672</v>
      </c>
      <c r="C342" s="56" t="s">
        <v>688</v>
      </c>
      <c r="D342" s="110" t="s">
        <v>694</v>
      </c>
      <c r="E342" s="110">
        <v>1</v>
      </c>
      <c r="F342" s="110">
        <v>3</v>
      </c>
      <c r="G342" s="123" t="s">
        <v>695</v>
      </c>
      <c r="H342" s="123" t="s">
        <v>1473</v>
      </c>
      <c r="I342" s="103" t="s">
        <v>698</v>
      </c>
      <c r="J342" s="103" t="s">
        <v>1682</v>
      </c>
      <c r="K342" s="178">
        <v>0</v>
      </c>
      <c r="L342" s="179">
        <v>100</v>
      </c>
      <c r="M342" s="103" t="s">
        <v>1141</v>
      </c>
      <c r="N342" s="56" t="s">
        <v>164</v>
      </c>
      <c r="O342" s="54" t="s">
        <v>630</v>
      </c>
      <c r="P342" s="58" t="s">
        <v>39</v>
      </c>
      <c r="Q342" s="171" t="s">
        <v>1680</v>
      </c>
      <c r="R342" s="182">
        <v>0</v>
      </c>
      <c r="S342" s="178">
        <v>0</v>
      </c>
      <c r="T342" s="178">
        <v>40</v>
      </c>
      <c r="U342" s="183">
        <v>60</v>
      </c>
      <c r="V342" s="59"/>
      <c r="W342" s="60"/>
      <c r="X342" s="60"/>
      <c r="Y342" s="60"/>
      <c r="Z342" s="60"/>
      <c r="AA342" s="61"/>
      <c r="AB342" s="62">
        <v>80000000</v>
      </c>
      <c r="AC342" s="60"/>
      <c r="AD342" s="60"/>
      <c r="AE342" s="60"/>
      <c r="AF342" s="60"/>
      <c r="AG342" s="60"/>
      <c r="AH342" s="63"/>
      <c r="AI342" s="62">
        <v>50000000</v>
      </c>
      <c r="AJ342" s="60"/>
      <c r="AK342" s="60"/>
      <c r="AL342" s="60"/>
      <c r="AM342" s="60"/>
      <c r="AN342" s="60"/>
      <c r="AO342" s="63"/>
      <c r="AP342" s="62">
        <v>50000000</v>
      </c>
      <c r="AQ342" s="60"/>
      <c r="AR342" s="60"/>
      <c r="AS342" s="60"/>
      <c r="AT342" s="60"/>
      <c r="AU342" s="60"/>
      <c r="AV342" s="64"/>
      <c r="AW342" s="55">
        <f t="shared" si="28"/>
        <v>0</v>
      </c>
      <c r="AX342" s="55">
        <f t="shared" si="29"/>
        <v>80000000</v>
      </c>
      <c r="AY342" s="55">
        <f t="shared" si="30"/>
        <v>50000000</v>
      </c>
      <c r="AZ342" s="55">
        <f t="shared" si="31"/>
        <v>50000000</v>
      </c>
      <c r="BA342" s="55">
        <f t="shared" si="32"/>
        <v>180000000</v>
      </c>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row>
    <row r="343" spans="1:133" s="13" customFormat="1" ht="110.25" x14ac:dyDescent="0.25">
      <c r="A343" s="130" t="s">
        <v>533</v>
      </c>
      <c r="B343" s="133" t="s">
        <v>672</v>
      </c>
      <c r="C343" s="56" t="s">
        <v>688</v>
      </c>
      <c r="D343" s="110" t="s">
        <v>694</v>
      </c>
      <c r="E343" s="110">
        <v>1</v>
      </c>
      <c r="F343" s="110">
        <v>3</v>
      </c>
      <c r="G343" s="123" t="s">
        <v>695</v>
      </c>
      <c r="H343" s="123" t="s">
        <v>1474</v>
      </c>
      <c r="I343" s="103" t="s">
        <v>699</v>
      </c>
      <c r="J343" s="103" t="s">
        <v>1683</v>
      </c>
      <c r="K343" s="56">
        <v>7</v>
      </c>
      <c r="L343" s="86">
        <v>12</v>
      </c>
      <c r="M343" s="103" t="s">
        <v>1141</v>
      </c>
      <c r="N343" s="56" t="s">
        <v>164</v>
      </c>
      <c r="O343" s="54" t="s">
        <v>630</v>
      </c>
      <c r="P343" s="58" t="s">
        <v>39</v>
      </c>
      <c r="Q343" s="171" t="s">
        <v>1680</v>
      </c>
      <c r="R343" s="182">
        <v>2</v>
      </c>
      <c r="S343" s="178">
        <v>0</v>
      </c>
      <c r="T343" s="178">
        <v>4</v>
      </c>
      <c r="U343" s="183">
        <v>6</v>
      </c>
      <c r="V343" s="59">
        <v>700000000</v>
      </c>
      <c r="W343" s="60"/>
      <c r="X343" s="60"/>
      <c r="Y343" s="60"/>
      <c r="Z343" s="60"/>
      <c r="AA343" s="61"/>
      <c r="AB343" s="62">
        <f>120000000+258132802</f>
        <v>378132802</v>
      </c>
      <c r="AC343" s="60"/>
      <c r="AD343" s="60"/>
      <c r="AE343" s="60"/>
      <c r="AF343" s="60"/>
      <c r="AG343" s="60"/>
      <c r="AH343" s="63"/>
      <c r="AI343" s="62">
        <v>120000000</v>
      </c>
      <c r="AJ343" s="60"/>
      <c r="AK343" s="60"/>
      <c r="AL343" s="60"/>
      <c r="AM343" s="60"/>
      <c r="AN343" s="60"/>
      <c r="AO343" s="63"/>
      <c r="AP343" s="62">
        <f>120000000+369392466</f>
        <v>489392466</v>
      </c>
      <c r="AQ343" s="60"/>
      <c r="AR343" s="60"/>
      <c r="AS343" s="60"/>
      <c r="AT343" s="60"/>
      <c r="AU343" s="60"/>
      <c r="AV343" s="64"/>
      <c r="AW343" s="55">
        <f t="shared" si="28"/>
        <v>700000000</v>
      </c>
      <c r="AX343" s="55">
        <f t="shared" si="29"/>
        <v>378132802</v>
      </c>
      <c r="AY343" s="55">
        <f t="shared" si="30"/>
        <v>120000000</v>
      </c>
      <c r="AZ343" s="55">
        <f t="shared" si="31"/>
        <v>489392466</v>
      </c>
      <c r="BA343" s="55">
        <f t="shared" si="32"/>
        <v>1687525268</v>
      </c>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c r="CP343" s="4"/>
      <c r="CQ343" s="4"/>
      <c r="CR343" s="4"/>
      <c r="CS343" s="4"/>
      <c r="CT343" s="4"/>
      <c r="CU343" s="4"/>
      <c r="CV343" s="4"/>
      <c r="CW343" s="4"/>
      <c r="CX343" s="4"/>
      <c r="CY343" s="4"/>
      <c r="CZ343" s="4"/>
      <c r="DA343" s="4"/>
      <c r="DB343" s="4"/>
      <c r="DC343" s="4"/>
      <c r="DD343" s="4"/>
      <c r="DE343" s="4"/>
      <c r="DF343" s="4"/>
      <c r="DG343" s="4"/>
      <c r="DH343" s="4"/>
      <c r="DI343" s="4"/>
      <c r="DJ343" s="4"/>
      <c r="DK343" s="4"/>
      <c r="DL343" s="4"/>
      <c r="DM343" s="4"/>
      <c r="DN343" s="4"/>
      <c r="DO343" s="4"/>
      <c r="DP343" s="4"/>
      <c r="DQ343" s="4"/>
      <c r="DR343" s="4"/>
      <c r="DS343" s="4"/>
      <c r="DT343" s="4"/>
      <c r="DU343" s="4"/>
      <c r="DV343" s="4"/>
      <c r="DW343" s="4"/>
      <c r="DX343" s="4"/>
      <c r="DY343" s="4"/>
      <c r="DZ343" s="4"/>
      <c r="EA343" s="4"/>
      <c r="EB343" s="4"/>
      <c r="EC343" s="4"/>
    </row>
    <row r="344" spans="1:133" s="13" customFormat="1" ht="110.25" x14ac:dyDescent="0.25">
      <c r="A344" s="130" t="s">
        <v>533</v>
      </c>
      <c r="B344" s="133" t="s">
        <v>672</v>
      </c>
      <c r="C344" s="56" t="s">
        <v>688</v>
      </c>
      <c r="D344" s="110" t="s">
        <v>694</v>
      </c>
      <c r="E344" s="110">
        <v>1</v>
      </c>
      <c r="F344" s="110">
        <v>3</v>
      </c>
      <c r="G344" s="104" t="s">
        <v>700</v>
      </c>
      <c r="H344" s="104" t="s">
        <v>1475</v>
      </c>
      <c r="I344" s="103" t="s">
        <v>701</v>
      </c>
      <c r="J344" s="103" t="s">
        <v>1683</v>
      </c>
      <c r="K344" s="56">
        <v>0</v>
      </c>
      <c r="L344" s="86">
        <v>2</v>
      </c>
      <c r="M344" s="103" t="s">
        <v>1141</v>
      </c>
      <c r="N344" s="56" t="s">
        <v>164</v>
      </c>
      <c r="O344" s="54" t="s">
        <v>630</v>
      </c>
      <c r="P344" s="58" t="s">
        <v>39</v>
      </c>
      <c r="Q344" s="171" t="s">
        <v>1680</v>
      </c>
      <c r="R344" s="182">
        <v>0</v>
      </c>
      <c r="S344" s="178">
        <v>0</v>
      </c>
      <c r="T344" s="178">
        <v>1</v>
      </c>
      <c r="U344" s="183">
        <v>1</v>
      </c>
      <c r="V344" s="59"/>
      <c r="W344" s="60"/>
      <c r="X344" s="60"/>
      <c r="Y344" s="60"/>
      <c r="Z344" s="60"/>
      <c r="AA344" s="61"/>
      <c r="AB344" s="62">
        <v>0</v>
      </c>
      <c r="AC344" s="60"/>
      <c r="AD344" s="60"/>
      <c r="AE344" s="60"/>
      <c r="AF344" s="60"/>
      <c r="AG344" s="60"/>
      <c r="AH344" s="63"/>
      <c r="AI344" s="62">
        <v>356908343</v>
      </c>
      <c r="AJ344" s="60"/>
      <c r="AK344" s="60"/>
      <c r="AL344" s="60"/>
      <c r="AM344" s="60"/>
      <c r="AN344" s="60"/>
      <c r="AO344" s="63"/>
      <c r="AP344" s="62">
        <f>369392466+199392466</f>
        <v>568784932</v>
      </c>
      <c r="AQ344" s="60"/>
      <c r="AR344" s="60"/>
      <c r="AS344" s="60"/>
      <c r="AT344" s="60"/>
      <c r="AU344" s="60"/>
      <c r="AV344" s="64"/>
      <c r="AW344" s="55">
        <f t="shared" si="28"/>
        <v>0</v>
      </c>
      <c r="AX344" s="55">
        <f t="shared" si="29"/>
        <v>0</v>
      </c>
      <c r="AY344" s="55">
        <f t="shared" si="30"/>
        <v>356908343</v>
      </c>
      <c r="AZ344" s="55">
        <f t="shared" si="31"/>
        <v>568784932</v>
      </c>
      <c r="BA344" s="55">
        <f t="shared" si="32"/>
        <v>925693275</v>
      </c>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c r="CP344" s="4"/>
      <c r="CQ344" s="4"/>
      <c r="CR344" s="4"/>
      <c r="CS344" s="4"/>
      <c r="CT344" s="4"/>
      <c r="CU344" s="4"/>
      <c r="CV344" s="4"/>
      <c r="CW344" s="4"/>
      <c r="CX344" s="4"/>
      <c r="CY344" s="4"/>
      <c r="CZ344" s="4"/>
      <c r="DA344" s="4"/>
      <c r="DB344" s="4"/>
      <c r="DC344" s="4"/>
      <c r="DD344" s="4"/>
      <c r="DE344" s="4"/>
      <c r="DF344" s="4"/>
      <c r="DG344" s="4"/>
      <c r="DH344" s="4"/>
      <c r="DI344" s="4"/>
      <c r="DJ344" s="4"/>
      <c r="DK344" s="4"/>
      <c r="DL344" s="4"/>
      <c r="DM344" s="4"/>
      <c r="DN344" s="4"/>
      <c r="DO344" s="4"/>
      <c r="DP344" s="4"/>
      <c r="DQ344" s="4"/>
      <c r="DR344" s="4"/>
      <c r="DS344" s="4"/>
      <c r="DT344" s="4"/>
      <c r="DU344" s="4"/>
      <c r="DV344" s="4"/>
      <c r="DW344" s="4"/>
      <c r="DX344" s="4"/>
      <c r="DY344" s="4"/>
      <c r="DZ344" s="4"/>
      <c r="EA344" s="4"/>
      <c r="EB344" s="4"/>
      <c r="EC344" s="4"/>
    </row>
    <row r="345" spans="1:133" s="13" customFormat="1" ht="110.25" x14ac:dyDescent="0.25">
      <c r="A345" s="130" t="s">
        <v>533</v>
      </c>
      <c r="B345" s="133" t="s">
        <v>672</v>
      </c>
      <c r="C345" s="56" t="s">
        <v>688</v>
      </c>
      <c r="D345" s="110" t="s">
        <v>694</v>
      </c>
      <c r="E345" s="110">
        <v>1</v>
      </c>
      <c r="F345" s="110">
        <v>3</v>
      </c>
      <c r="G345" s="104" t="s">
        <v>702</v>
      </c>
      <c r="H345" s="104" t="s">
        <v>1476</v>
      </c>
      <c r="I345" s="103" t="s">
        <v>703</v>
      </c>
      <c r="J345" s="103" t="s">
        <v>1682</v>
      </c>
      <c r="K345" s="178">
        <v>0</v>
      </c>
      <c r="L345" s="179">
        <v>100</v>
      </c>
      <c r="M345" s="103" t="s">
        <v>1141</v>
      </c>
      <c r="N345" s="56" t="s">
        <v>164</v>
      </c>
      <c r="O345" s="54" t="s">
        <v>630</v>
      </c>
      <c r="P345" s="58" t="s">
        <v>39</v>
      </c>
      <c r="Q345" s="171" t="s">
        <v>1680</v>
      </c>
      <c r="R345" s="182">
        <v>0</v>
      </c>
      <c r="S345" s="178">
        <v>0</v>
      </c>
      <c r="T345" s="178">
        <v>40</v>
      </c>
      <c r="U345" s="183">
        <v>60</v>
      </c>
      <c r="V345" s="59"/>
      <c r="W345" s="60"/>
      <c r="X345" s="60"/>
      <c r="Y345" s="60"/>
      <c r="Z345" s="60"/>
      <c r="AA345" s="61"/>
      <c r="AB345" s="62">
        <v>90000000</v>
      </c>
      <c r="AC345" s="60"/>
      <c r="AD345" s="60"/>
      <c r="AE345" s="60"/>
      <c r="AF345" s="60"/>
      <c r="AG345" s="60"/>
      <c r="AH345" s="63"/>
      <c r="AI345" s="62">
        <v>356908343</v>
      </c>
      <c r="AJ345" s="60"/>
      <c r="AK345" s="60"/>
      <c r="AL345" s="60"/>
      <c r="AM345" s="60"/>
      <c r="AN345" s="60"/>
      <c r="AO345" s="63"/>
      <c r="AP345" s="62"/>
      <c r="AQ345" s="60"/>
      <c r="AR345" s="60"/>
      <c r="AS345" s="60"/>
      <c r="AT345" s="60"/>
      <c r="AU345" s="60"/>
      <c r="AV345" s="64"/>
      <c r="AW345" s="55">
        <f t="shared" si="28"/>
        <v>0</v>
      </c>
      <c r="AX345" s="55">
        <f t="shared" si="29"/>
        <v>90000000</v>
      </c>
      <c r="AY345" s="55">
        <f t="shared" si="30"/>
        <v>356908343</v>
      </c>
      <c r="AZ345" s="55">
        <f t="shared" si="31"/>
        <v>0</v>
      </c>
      <c r="BA345" s="55">
        <f t="shared" si="32"/>
        <v>446908343</v>
      </c>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c r="CP345" s="4"/>
      <c r="CQ345" s="4"/>
      <c r="CR345" s="4"/>
      <c r="CS345" s="4"/>
      <c r="CT345" s="4"/>
      <c r="CU345" s="4"/>
      <c r="CV345" s="4"/>
      <c r="CW345" s="4"/>
      <c r="CX345" s="4"/>
      <c r="CY345" s="4"/>
      <c r="CZ345" s="4"/>
      <c r="DA345" s="4"/>
      <c r="DB345" s="4"/>
      <c r="DC345" s="4"/>
      <c r="DD345" s="4"/>
      <c r="DE345" s="4"/>
      <c r="DF345" s="4"/>
      <c r="DG345" s="4"/>
      <c r="DH345" s="4"/>
      <c r="DI345" s="4"/>
      <c r="DJ345" s="4"/>
      <c r="DK345" s="4"/>
      <c r="DL345" s="4"/>
      <c r="DM345" s="4"/>
      <c r="DN345" s="4"/>
      <c r="DO345" s="4"/>
      <c r="DP345" s="4"/>
      <c r="DQ345" s="4"/>
      <c r="DR345" s="4"/>
      <c r="DS345" s="4"/>
      <c r="DT345" s="4"/>
      <c r="DU345" s="4"/>
      <c r="DV345" s="4"/>
      <c r="DW345" s="4"/>
      <c r="DX345" s="4"/>
      <c r="DY345" s="4"/>
      <c r="DZ345" s="4"/>
      <c r="EA345" s="4"/>
      <c r="EB345" s="4"/>
      <c r="EC345" s="4"/>
    </row>
    <row r="346" spans="1:133" s="13" customFormat="1" ht="94.5" x14ac:dyDescent="0.25">
      <c r="A346" s="130" t="s">
        <v>533</v>
      </c>
      <c r="B346" s="133" t="s">
        <v>704</v>
      </c>
      <c r="C346" s="118" t="s">
        <v>705</v>
      </c>
      <c r="D346" s="127" t="s">
        <v>706</v>
      </c>
      <c r="E346" s="128">
        <v>0.84</v>
      </c>
      <c r="F346" s="128">
        <v>0.9</v>
      </c>
      <c r="G346" s="139" t="s">
        <v>707</v>
      </c>
      <c r="H346" s="139" t="s">
        <v>1477</v>
      </c>
      <c r="I346" s="103" t="s">
        <v>708</v>
      </c>
      <c r="J346" s="103" t="s">
        <v>1683</v>
      </c>
      <c r="K346" s="56">
        <v>2080</v>
      </c>
      <c r="L346" s="86">
        <v>18000</v>
      </c>
      <c r="M346" s="103" t="s">
        <v>709</v>
      </c>
      <c r="N346" s="56" t="s">
        <v>97</v>
      </c>
      <c r="O346" s="54" t="s">
        <v>710</v>
      </c>
      <c r="P346" s="58" t="s">
        <v>39</v>
      </c>
      <c r="Q346" s="171" t="s">
        <v>1680</v>
      </c>
      <c r="R346" s="182">
        <v>3000</v>
      </c>
      <c r="S346" s="178">
        <v>4000</v>
      </c>
      <c r="T346" s="178">
        <v>5000</v>
      </c>
      <c r="U346" s="183">
        <v>6000</v>
      </c>
      <c r="V346" s="59">
        <v>1000000000</v>
      </c>
      <c r="W346" s="60">
        <v>2962293000</v>
      </c>
      <c r="X346" s="60"/>
      <c r="Y346" s="60"/>
      <c r="Z346" s="60"/>
      <c r="AA346" s="61"/>
      <c r="AB346" s="62">
        <v>2500000000</v>
      </c>
      <c r="AC346" s="60"/>
      <c r="AD346" s="60"/>
      <c r="AE346" s="60"/>
      <c r="AF346" s="60"/>
      <c r="AG346" s="60"/>
      <c r="AH346" s="63"/>
      <c r="AI346" s="62">
        <v>3500000000</v>
      </c>
      <c r="AJ346" s="60">
        <v>0</v>
      </c>
      <c r="AK346" s="60"/>
      <c r="AL346" s="60"/>
      <c r="AM346" s="60"/>
      <c r="AN346" s="60"/>
      <c r="AO346" s="63"/>
      <c r="AP346" s="62">
        <v>4500000000</v>
      </c>
      <c r="AQ346" s="60"/>
      <c r="AR346" s="60"/>
      <c r="AS346" s="60"/>
      <c r="AT346" s="60"/>
      <c r="AU346" s="60"/>
      <c r="AV346" s="64"/>
      <c r="AW346" s="55">
        <f t="shared" si="28"/>
        <v>3962293000</v>
      </c>
      <c r="AX346" s="55">
        <f t="shared" si="29"/>
        <v>2500000000</v>
      </c>
      <c r="AY346" s="55">
        <f t="shared" si="30"/>
        <v>3500000000</v>
      </c>
      <c r="AZ346" s="55">
        <f t="shared" si="31"/>
        <v>4500000000</v>
      </c>
      <c r="BA346" s="55">
        <f t="shared" si="32"/>
        <v>14462293000</v>
      </c>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row>
    <row r="347" spans="1:133" s="13" customFormat="1" ht="78.75" x14ac:dyDescent="0.25">
      <c r="A347" s="130" t="s">
        <v>533</v>
      </c>
      <c r="B347" s="133" t="s">
        <v>704</v>
      </c>
      <c r="C347" s="118" t="s">
        <v>705</v>
      </c>
      <c r="D347" s="127" t="s">
        <v>706</v>
      </c>
      <c r="E347" s="128">
        <v>0.84</v>
      </c>
      <c r="F347" s="128">
        <v>0.9</v>
      </c>
      <c r="G347" s="139" t="s">
        <v>707</v>
      </c>
      <c r="H347" s="139" t="s">
        <v>1478</v>
      </c>
      <c r="I347" s="103" t="s">
        <v>711</v>
      </c>
      <c r="J347" s="103" t="s">
        <v>1683</v>
      </c>
      <c r="K347" s="56">
        <v>9</v>
      </c>
      <c r="L347" s="86">
        <v>22</v>
      </c>
      <c r="M347" s="103" t="s">
        <v>709</v>
      </c>
      <c r="N347" s="56" t="s">
        <v>97</v>
      </c>
      <c r="O347" s="54" t="s">
        <v>710</v>
      </c>
      <c r="P347" s="58" t="s">
        <v>39</v>
      </c>
      <c r="Q347" s="171" t="s">
        <v>1680</v>
      </c>
      <c r="R347" s="182">
        <v>4</v>
      </c>
      <c r="S347" s="178">
        <v>5</v>
      </c>
      <c r="T347" s="178">
        <v>6</v>
      </c>
      <c r="U347" s="183">
        <v>7</v>
      </c>
      <c r="V347" s="59">
        <v>621552000</v>
      </c>
      <c r="W347" s="60">
        <v>1000000000</v>
      </c>
      <c r="X347" s="60"/>
      <c r="Y347" s="60"/>
      <c r="Z347" s="60"/>
      <c r="AA347" s="61"/>
      <c r="AB347" s="62">
        <v>3000000000</v>
      </c>
      <c r="AC347" s="60"/>
      <c r="AD347" s="60"/>
      <c r="AE347" s="60"/>
      <c r="AF347" s="60"/>
      <c r="AG347" s="60"/>
      <c r="AH347" s="63"/>
      <c r="AI347" s="62"/>
      <c r="AJ347" s="60">
        <v>3000000000</v>
      </c>
      <c r="AK347" s="60"/>
      <c r="AL347" s="60"/>
      <c r="AM347" s="60"/>
      <c r="AN347" s="60"/>
      <c r="AO347" s="63"/>
      <c r="AP347" s="62">
        <v>3000000000</v>
      </c>
      <c r="AQ347" s="60">
        <v>0</v>
      </c>
      <c r="AR347" s="60"/>
      <c r="AS347" s="60"/>
      <c r="AT347" s="60"/>
      <c r="AU347" s="60"/>
      <c r="AV347" s="64"/>
      <c r="AW347" s="55">
        <f t="shared" si="28"/>
        <v>1621552000</v>
      </c>
      <c r="AX347" s="55">
        <f t="shared" si="29"/>
        <v>3000000000</v>
      </c>
      <c r="AY347" s="55">
        <f t="shared" si="30"/>
        <v>3000000000</v>
      </c>
      <c r="AZ347" s="55">
        <f t="shared" si="31"/>
        <v>3000000000</v>
      </c>
      <c r="BA347" s="55">
        <f t="shared" si="32"/>
        <v>10621552000</v>
      </c>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c r="BY347" s="32"/>
      <c r="BZ347" s="32"/>
      <c r="CA347" s="32"/>
      <c r="CB347" s="32"/>
      <c r="CC347" s="32"/>
      <c r="CD347" s="32"/>
      <c r="CE347" s="32"/>
      <c r="CF347" s="32"/>
      <c r="CG347" s="32"/>
      <c r="CH347" s="32"/>
      <c r="CI347" s="32"/>
      <c r="CJ347" s="32"/>
      <c r="CK347" s="32"/>
      <c r="CL347" s="32"/>
      <c r="CM347" s="32"/>
      <c r="CN347" s="32"/>
      <c r="CO347" s="32"/>
      <c r="CP347" s="32"/>
      <c r="CQ347" s="32"/>
      <c r="CR347" s="32"/>
      <c r="CS347" s="32"/>
      <c r="CT347" s="32"/>
      <c r="CU347" s="32"/>
      <c r="CV347" s="32"/>
      <c r="CW347" s="32"/>
      <c r="CX347" s="32"/>
      <c r="CY347" s="32"/>
      <c r="CZ347" s="32"/>
      <c r="DA347" s="32"/>
      <c r="DB347" s="32"/>
      <c r="DC347" s="32"/>
      <c r="DD347" s="32"/>
      <c r="DE347" s="32"/>
      <c r="DF347" s="32"/>
      <c r="DG347" s="32"/>
      <c r="DH347" s="32"/>
      <c r="DI347" s="32"/>
      <c r="DJ347" s="32"/>
      <c r="DK347" s="32"/>
      <c r="DL347" s="32"/>
      <c r="DM347" s="32"/>
      <c r="DN347" s="32"/>
      <c r="DO347" s="32"/>
      <c r="DP347" s="32"/>
      <c r="DQ347" s="32"/>
      <c r="DR347" s="32"/>
      <c r="DS347" s="32"/>
      <c r="DT347" s="32"/>
      <c r="DU347" s="32"/>
      <c r="DV347" s="32"/>
      <c r="DW347" s="32"/>
      <c r="DX347" s="32"/>
      <c r="DY347" s="32"/>
      <c r="DZ347" s="32"/>
      <c r="EA347" s="32"/>
      <c r="EB347" s="32"/>
      <c r="EC347" s="32"/>
    </row>
    <row r="348" spans="1:133" s="13" customFormat="1" ht="94.5" x14ac:dyDescent="0.25">
      <c r="A348" s="130" t="s">
        <v>533</v>
      </c>
      <c r="B348" s="133" t="s">
        <v>704</v>
      </c>
      <c r="C348" s="118" t="s">
        <v>705</v>
      </c>
      <c r="D348" s="127" t="s">
        <v>706</v>
      </c>
      <c r="E348" s="128">
        <v>0.84</v>
      </c>
      <c r="F348" s="128">
        <v>0.9</v>
      </c>
      <c r="G348" s="139" t="s">
        <v>712</v>
      </c>
      <c r="H348" s="139" t="s">
        <v>1479</v>
      </c>
      <c r="I348" s="103" t="s">
        <v>713</v>
      </c>
      <c r="J348" s="103" t="s">
        <v>1683</v>
      </c>
      <c r="K348" s="56">
        <v>10000</v>
      </c>
      <c r="L348" s="86">
        <v>50000</v>
      </c>
      <c r="M348" s="103" t="s">
        <v>709</v>
      </c>
      <c r="N348" s="56" t="s">
        <v>97</v>
      </c>
      <c r="O348" s="54" t="s">
        <v>710</v>
      </c>
      <c r="P348" s="58" t="s">
        <v>39</v>
      </c>
      <c r="Q348" s="171" t="s">
        <v>1680</v>
      </c>
      <c r="R348" s="187">
        <v>500</v>
      </c>
      <c r="S348" s="180">
        <v>8000</v>
      </c>
      <c r="T348" s="180">
        <v>20500</v>
      </c>
      <c r="U348" s="188">
        <v>21000</v>
      </c>
      <c r="V348" s="59">
        <v>300000000</v>
      </c>
      <c r="W348" s="60">
        <v>0</v>
      </c>
      <c r="X348" s="60"/>
      <c r="Y348" s="60"/>
      <c r="Z348" s="60"/>
      <c r="AA348" s="61"/>
      <c r="AB348" s="62">
        <v>2100000000</v>
      </c>
      <c r="AC348" s="60"/>
      <c r="AD348" s="60"/>
      <c r="AE348" s="60"/>
      <c r="AF348" s="60"/>
      <c r="AG348" s="60"/>
      <c r="AH348" s="63"/>
      <c r="AI348" s="62">
        <v>2100000000</v>
      </c>
      <c r="AJ348" s="60">
        <v>0</v>
      </c>
      <c r="AK348" s="60"/>
      <c r="AL348" s="60"/>
      <c r="AM348" s="60"/>
      <c r="AN348" s="60"/>
      <c r="AO348" s="63"/>
      <c r="AP348" s="62">
        <v>0</v>
      </c>
      <c r="AQ348" s="60">
        <v>2100000000</v>
      </c>
      <c r="AR348" s="60"/>
      <c r="AS348" s="60"/>
      <c r="AT348" s="60"/>
      <c r="AU348" s="60"/>
      <c r="AV348" s="64"/>
      <c r="AW348" s="55">
        <f t="shared" si="28"/>
        <v>300000000</v>
      </c>
      <c r="AX348" s="55">
        <f t="shared" si="29"/>
        <v>2100000000</v>
      </c>
      <c r="AY348" s="55">
        <f t="shared" si="30"/>
        <v>2100000000</v>
      </c>
      <c r="AZ348" s="55">
        <f t="shared" si="31"/>
        <v>2100000000</v>
      </c>
      <c r="BA348" s="55">
        <f t="shared" si="32"/>
        <v>6600000000</v>
      </c>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c r="EC348" s="32"/>
    </row>
    <row r="349" spans="1:133" s="13" customFormat="1" ht="94.5" x14ac:dyDescent="0.25">
      <c r="A349" s="130" t="s">
        <v>533</v>
      </c>
      <c r="B349" s="133" t="s">
        <v>704</v>
      </c>
      <c r="C349" s="118" t="s">
        <v>705</v>
      </c>
      <c r="D349" s="127" t="s">
        <v>706</v>
      </c>
      <c r="E349" s="128">
        <v>0.84</v>
      </c>
      <c r="F349" s="128">
        <v>0.9</v>
      </c>
      <c r="G349" s="139" t="s">
        <v>712</v>
      </c>
      <c r="H349" s="139" t="s">
        <v>1480</v>
      </c>
      <c r="I349" s="103" t="s">
        <v>714</v>
      </c>
      <c r="J349" s="103" t="s">
        <v>1695</v>
      </c>
      <c r="K349" s="56">
        <v>20</v>
      </c>
      <c r="L349" s="86">
        <v>80</v>
      </c>
      <c r="M349" s="103" t="s">
        <v>709</v>
      </c>
      <c r="N349" s="56" t="s">
        <v>97</v>
      </c>
      <c r="O349" s="54" t="s">
        <v>710</v>
      </c>
      <c r="P349" s="58" t="s">
        <v>39</v>
      </c>
      <c r="Q349" s="171" t="s">
        <v>1680</v>
      </c>
      <c r="R349" s="187">
        <v>3</v>
      </c>
      <c r="S349" s="180">
        <v>20</v>
      </c>
      <c r="T349" s="180">
        <v>25</v>
      </c>
      <c r="U349" s="188">
        <v>32</v>
      </c>
      <c r="V349" s="59">
        <v>100000000</v>
      </c>
      <c r="W349" s="60">
        <v>0</v>
      </c>
      <c r="X349" s="60"/>
      <c r="Y349" s="60"/>
      <c r="Z349" s="60"/>
      <c r="AA349" s="61"/>
      <c r="AB349" s="62">
        <v>1000000000</v>
      </c>
      <c r="AC349" s="60"/>
      <c r="AD349" s="60"/>
      <c r="AE349" s="60"/>
      <c r="AF349" s="60"/>
      <c r="AG349" s="60"/>
      <c r="AH349" s="63"/>
      <c r="AI349" s="62">
        <v>1000000000</v>
      </c>
      <c r="AJ349" s="60">
        <v>0</v>
      </c>
      <c r="AK349" s="60"/>
      <c r="AL349" s="60"/>
      <c r="AM349" s="60"/>
      <c r="AN349" s="60"/>
      <c r="AO349" s="63"/>
      <c r="AP349" s="62">
        <v>0</v>
      </c>
      <c r="AQ349" s="60">
        <v>1000000000</v>
      </c>
      <c r="AR349" s="60"/>
      <c r="AS349" s="60"/>
      <c r="AT349" s="60"/>
      <c r="AU349" s="60"/>
      <c r="AV349" s="64"/>
      <c r="AW349" s="55">
        <f t="shared" si="28"/>
        <v>100000000</v>
      </c>
      <c r="AX349" s="55">
        <f t="shared" si="29"/>
        <v>1000000000</v>
      </c>
      <c r="AY349" s="55">
        <f t="shared" si="30"/>
        <v>1000000000</v>
      </c>
      <c r="AZ349" s="55">
        <f t="shared" si="31"/>
        <v>1000000000</v>
      </c>
      <c r="BA349" s="55">
        <f t="shared" si="32"/>
        <v>3100000000</v>
      </c>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c r="EC349" s="32"/>
    </row>
    <row r="350" spans="1:133" s="13" customFormat="1" ht="110.25" x14ac:dyDescent="0.25">
      <c r="A350" s="130" t="s">
        <v>533</v>
      </c>
      <c r="B350" s="133" t="s">
        <v>704</v>
      </c>
      <c r="C350" s="118" t="s">
        <v>705</v>
      </c>
      <c r="D350" s="127" t="s">
        <v>706</v>
      </c>
      <c r="E350" s="128">
        <v>0.84</v>
      </c>
      <c r="F350" s="128">
        <v>0.9</v>
      </c>
      <c r="G350" s="139" t="s">
        <v>712</v>
      </c>
      <c r="H350" s="139" t="s">
        <v>1481</v>
      </c>
      <c r="I350" s="103" t="s">
        <v>715</v>
      </c>
      <c r="J350" s="103" t="s">
        <v>1682</v>
      </c>
      <c r="K350" s="178">
        <v>40</v>
      </c>
      <c r="L350" s="179">
        <v>100</v>
      </c>
      <c r="M350" s="103" t="s">
        <v>709</v>
      </c>
      <c r="N350" s="56" t="s">
        <v>97</v>
      </c>
      <c r="O350" s="54" t="s">
        <v>710</v>
      </c>
      <c r="P350" s="58" t="s">
        <v>254</v>
      </c>
      <c r="Q350" s="54" t="s">
        <v>1679</v>
      </c>
      <c r="R350" s="182">
        <v>100</v>
      </c>
      <c r="S350" s="178">
        <v>100</v>
      </c>
      <c r="T350" s="178">
        <v>100</v>
      </c>
      <c r="U350" s="183">
        <v>100</v>
      </c>
      <c r="V350" s="59">
        <v>50000000</v>
      </c>
      <c r="W350" s="60">
        <v>0</v>
      </c>
      <c r="X350" s="60"/>
      <c r="Y350" s="60"/>
      <c r="Z350" s="60"/>
      <c r="AA350" s="61"/>
      <c r="AB350" s="62">
        <v>50000000</v>
      </c>
      <c r="AC350" s="60"/>
      <c r="AD350" s="60"/>
      <c r="AE350" s="60"/>
      <c r="AF350" s="60"/>
      <c r="AG350" s="60"/>
      <c r="AH350" s="63"/>
      <c r="AI350" s="62">
        <v>50000000</v>
      </c>
      <c r="AJ350" s="60">
        <v>0</v>
      </c>
      <c r="AK350" s="60"/>
      <c r="AL350" s="60"/>
      <c r="AM350" s="60"/>
      <c r="AN350" s="60"/>
      <c r="AO350" s="63"/>
      <c r="AP350" s="62"/>
      <c r="AQ350" s="60">
        <v>50000000</v>
      </c>
      <c r="AR350" s="60"/>
      <c r="AS350" s="60"/>
      <c r="AT350" s="60"/>
      <c r="AU350" s="60"/>
      <c r="AV350" s="64"/>
      <c r="AW350" s="55">
        <f t="shared" si="28"/>
        <v>50000000</v>
      </c>
      <c r="AX350" s="55">
        <f t="shared" si="29"/>
        <v>50000000</v>
      </c>
      <c r="AY350" s="55">
        <f t="shared" si="30"/>
        <v>50000000</v>
      </c>
      <c r="AZ350" s="55">
        <f t="shared" si="31"/>
        <v>50000000</v>
      </c>
      <c r="BA350" s="55">
        <f t="shared" si="32"/>
        <v>200000000</v>
      </c>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c r="BY350" s="32"/>
      <c r="BZ350" s="32"/>
      <c r="CA350" s="32"/>
      <c r="CB350" s="32"/>
      <c r="CC350" s="32"/>
      <c r="CD350" s="32"/>
      <c r="CE350" s="32"/>
      <c r="CF350" s="32"/>
      <c r="CG350" s="32"/>
      <c r="CH350" s="32"/>
      <c r="CI350" s="32"/>
      <c r="CJ350" s="32"/>
      <c r="CK350" s="32"/>
      <c r="CL350" s="32"/>
      <c r="CM350" s="32"/>
      <c r="CN350" s="32"/>
      <c r="CO350" s="32"/>
      <c r="CP350" s="32"/>
      <c r="CQ350" s="32"/>
      <c r="CR350" s="32"/>
      <c r="CS350" s="32"/>
      <c r="CT350" s="32"/>
      <c r="CU350" s="32"/>
      <c r="CV350" s="32"/>
      <c r="CW350" s="32"/>
      <c r="CX350" s="32"/>
      <c r="CY350" s="32"/>
      <c r="CZ350" s="32"/>
      <c r="DA350" s="32"/>
      <c r="DB350" s="32"/>
      <c r="DC350" s="32"/>
      <c r="DD350" s="32"/>
      <c r="DE350" s="32"/>
      <c r="DF350" s="32"/>
      <c r="DG350" s="32"/>
      <c r="DH350" s="32"/>
      <c r="DI350" s="32"/>
      <c r="DJ350" s="32"/>
      <c r="DK350" s="32"/>
      <c r="DL350" s="32"/>
      <c r="DM350" s="32"/>
      <c r="DN350" s="32"/>
      <c r="DO350" s="32"/>
      <c r="DP350" s="32"/>
      <c r="DQ350" s="32"/>
      <c r="DR350" s="32"/>
      <c r="DS350" s="32"/>
      <c r="DT350" s="32"/>
      <c r="DU350" s="32"/>
      <c r="DV350" s="32"/>
      <c r="DW350" s="32"/>
      <c r="DX350" s="32"/>
      <c r="DY350" s="32"/>
      <c r="DZ350" s="32"/>
      <c r="EA350" s="32"/>
      <c r="EB350" s="32"/>
      <c r="EC350" s="32"/>
    </row>
    <row r="351" spans="1:133" s="13" customFormat="1" ht="157.5" x14ac:dyDescent="0.25">
      <c r="A351" s="130" t="s">
        <v>533</v>
      </c>
      <c r="B351" s="133" t="s">
        <v>704</v>
      </c>
      <c r="C351" s="118" t="s">
        <v>705</v>
      </c>
      <c r="D351" s="127" t="s">
        <v>706</v>
      </c>
      <c r="E351" s="128">
        <v>0.84</v>
      </c>
      <c r="F351" s="128">
        <v>0.9</v>
      </c>
      <c r="G351" s="139" t="s">
        <v>712</v>
      </c>
      <c r="H351" s="139" t="s">
        <v>1482</v>
      </c>
      <c r="I351" s="103" t="s">
        <v>716</v>
      </c>
      <c r="J351" s="103" t="s">
        <v>1683</v>
      </c>
      <c r="K351" s="86">
        <v>300</v>
      </c>
      <c r="L351" s="86">
        <v>2000</v>
      </c>
      <c r="M351" s="103" t="s">
        <v>709</v>
      </c>
      <c r="N351" s="56" t="s">
        <v>97</v>
      </c>
      <c r="O351" s="54" t="s">
        <v>710</v>
      </c>
      <c r="P351" s="58" t="s">
        <v>39</v>
      </c>
      <c r="Q351" s="171" t="s">
        <v>1680</v>
      </c>
      <c r="R351" s="182">
        <v>0</v>
      </c>
      <c r="S351" s="178">
        <v>500</v>
      </c>
      <c r="T351" s="178">
        <v>700</v>
      </c>
      <c r="U351" s="183">
        <v>800</v>
      </c>
      <c r="V351" s="59"/>
      <c r="W351" s="60"/>
      <c r="X351" s="60"/>
      <c r="Y351" s="60"/>
      <c r="Z351" s="60"/>
      <c r="AA351" s="61"/>
      <c r="AB351" s="62">
        <v>1000000000</v>
      </c>
      <c r="AC351" s="60"/>
      <c r="AD351" s="60"/>
      <c r="AE351" s="60"/>
      <c r="AF351" s="60"/>
      <c r="AG351" s="60"/>
      <c r="AH351" s="63"/>
      <c r="AI351" s="62">
        <v>1000000000</v>
      </c>
      <c r="AJ351" s="60">
        <v>0</v>
      </c>
      <c r="AK351" s="60"/>
      <c r="AL351" s="60"/>
      <c r="AM351" s="60"/>
      <c r="AN351" s="60"/>
      <c r="AO351" s="63"/>
      <c r="AP351" s="62"/>
      <c r="AQ351" s="60">
        <v>1000000000</v>
      </c>
      <c r="AR351" s="60"/>
      <c r="AS351" s="60"/>
      <c r="AT351" s="60"/>
      <c r="AU351" s="60"/>
      <c r="AV351" s="64"/>
      <c r="AW351" s="55">
        <f t="shared" si="28"/>
        <v>0</v>
      </c>
      <c r="AX351" s="55">
        <f t="shared" si="29"/>
        <v>1000000000</v>
      </c>
      <c r="AY351" s="55">
        <f t="shared" si="30"/>
        <v>1000000000</v>
      </c>
      <c r="AZ351" s="55">
        <f t="shared" si="31"/>
        <v>1000000000</v>
      </c>
      <c r="BA351" s="55">
        <f t="shared" si="32"/>
        <v>3000000000</v>
      </c>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c r="BY351" s="32"/>
      <c r="BZ351" s="32"/>
      <c r="CA351" s="32"/>
      <c r="CB351" s="32"/>
      <c r="CC351" s="32"/>
      <c r="CD351" s="32"/>
      <c r="CE351" s="32"/>
      <c r="CF351" s="32"/>
      <c r="CG351" s="32"/>
      <c r="CH351" s="32"/>
      <c r="CI351" s="32"/>
      <c r="CJ351" s="32"/>
      <c r="CK351" s="32"/>
      <c r="CL351" s="32"/>
      <c r="CM351" s="32"/>
      <c r="CN351" s="32"/>
      <c r="CO351" s="32"/>
      <c r="CP351" s="32"/>
      <c r="CQ351" s="32"/>
      <c r="CR351" s="32"/>
      <c r="CS351" s="32"/>
      <c r="CT351" s="32"/>
      <c r="CU351" s="32"/>
      <c r="CV351" s="32"/>
      <c r="CW351" s="32"/>
      <c r="CX351" s="32"/>
      <c r="CY351" s="32"/>
      <c r="CZ351" s="32"/>
      <c r="DA351" s="32"/>
      <c r="DB351" s="32"/>
      <c r="DC351" s="32"/>
      <c r="DD351" s="32"/>
      <c r="DE351" s="32"/>
      <c r="DF351" s="32"/>
      <c r="DG351" s="32"/>
      <c r="DH351" s="32"/>
      <c r="DI351" s="32"/>
      <c r="DJ351" s="32"/>
      <c r="DK351" s="32"/>
      <c r="DL351" s="32"/>
      <c r="DM351" s="32"/>
      <c r="DN351" s="32"/>
      <c r="DO351" s="32"/>
      <c r="DP351" s="32"/>
      <c r="DQ351" s="32"/>
      <c r="DR351" s="32"/>
      <c r="DS351" s="32"/>
      <c r="DT351" s="32"/>
      <c r="DU351" s="32"/>
      <c r="DV351" s="32"/>
      <c r="DW351" s="32"/>
      <c r="DX351" s="32"/>
      <c r="DY351" s="32"/>
      <c r="DZ351" s="32"/>
      <c r="EA351" s="32"/>
      <c r="EB351" s="32"/>
      <c r="EC351" s="32"/>
    </row>
    <row r="352" spans="1:133" s="13" customFormat="1" ht="173.25" x14ac:dyDescent="0.25">
      <c r="A352" s="130" t="s">
        <v>533</v>
      </c>
      <c r="B352" s="133" t="s">
        <v>704</v>
      </c>
      <c r="C352" s="118" t="s">
        <v>705</v>
      </c>
      <c r="D352" s="127" t="s">
        <v>706</v>
      </c>
      <c r="E352" s="128">
        <v>0.84</v>
      </c>
      <c r="F352" s="128">
        <v>0.9</v>
      </c>
      <c r="G352" s="139" t="s">
        <v>712</v>
      </c>
      <c r="H352" s="139" t="s">
        <v>1146</v>
      </c>
      <c r="I352" s="109" t="s">
        <v>40</v>
      </c>
      <c r="J352" s="109" t="s">
        <v>1682</v>
      </c>
      <c r="K352" s="69" t="s">
        <v>41</v>
      </c>
      <c r="L352" s="179">
        <v>100</v>
      </c>
      <c r="M352" s="103" t="s">
        <v>709</v>
      </c>
      <c r="N352" s="56" t="s">
        <v>97</v>
      </c>
      <c r="O352" s="54" t="s">
        <v>710</v>
      </c>
      <c r="P352" s="58" t="s">
        <v>181</v>
      </c>
      <c r="Q352" s="171" t="s">
        <v>1679</v>
      </c>
      <c r="R352" s="182">
        <v>70</v>
      </c>
      <c r="S352" s="178">
        <v>100</v>
      </c>
      <c r="T352" s="178">
        <v>100</v>
      </c>
      <c r="U352" s="183">
        <v>100</v>
      </c>
      <c r="V352" s="59">
        <v>50000000</v>
      </c>
      <c r="W352" s="60"/>
      <c r="X352" s="60"/>
      <c r="Y352" s="60"/>
      <c r="Z352" s="60"/>
      <c r="AA352" s="61"/>
      <c r="AB352" s="62">
        <v>50000000</v>
      </c>
      <c r="AC352" s="60"/>
      <c r="AD352" s="60"/>
      <c r="AE352" s="60"/>
      <c r="AF352" s="60"/>
      <c r="AG352" s="60"/>
      <c r="AH352" s="63"/>
      <c r="AI352" s="62">
        <v>50000000</v>
      </c>
      <c r="AJ352" s="60"/>
      <c r="AK352" s="60"/>
      <c r="AL352" s="60"/>
      <c r="AM352" s="60"/>
      <c r="AN352" s="60"/>
      <c r="AO352" s="63"/>
      <c r="AP352" s="62"/>
      <c r="AQ352" s="60">
        <v>50000000</v>
      </c>
      <c r="AR352" s="60"/>
      <c r="AS352" s="60"/>
      <c r="AT352" s="60"/>
      <c r="AU352" s="60"/>
      <c r="AV352" s="64"/>
      <c r="AW352" s="55">
        <f t="shared" si="28"/>
        <v>50000000</v>
      </c>
      <c r="AX352" s="55">
        <f t="shared" si="29"/>
        <v>50000000</v>
      </c>
      <c r="AY352" s="55">
        <f t="shared" si="30"/>
        <v>50000000</v>
      </c>
      <c r="AZ352" s="55">
        <f t="shared" si="31"/>
        <v>50000000</v>
      </c>
      <c r="BA352" s="55">
        <f t="shared" si="32"/>
        <v>200000000</v>
      </c>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c r="BY352" s="32"/>
      <c r="BZ352" s="32"/>
      <c r="CA352" s="32"/>
      <c r="CB352" s="32"/>
      <c r="CC352" s="32"/>
      <c r="CD352" s="32"/>
      <c r="CE352" s="32"/>
      <c r="CF352" s="32"/>
      <c r="CG352" s="32"/>
      <c r="CH352" s="32"/>
      <c r="CI352" s="32"/>
      <c r="CJ352" s="32"/>
      <c r="CK352" s="32"/>
      <c r="CL352" s="32"/>
      <c r="CM352" s="32"/>
      <c r="CN352" s="32"/>
      <c r="CO352" s="32"/>
      <c r="CP352" s="32"/>
      <c r="CQ352" s="32"/>
      <c r="CR352" s="32"/>
      <c r="CS352" s="32"/>
      <c r="CT352" s="32"/>
      <c r="CU352" s="32"/>
      <c r="CV352" s="32"/>
      <c r="CW352" s="32"/>
      <c r="CX352" s="32"/>
      <c r="CY352" s="32"/>
      <c r="CZ352" s="32"/>
      <c r="DA352" s="32"/>
      <c r="DB352" s="32"/>
      <c r="DC352" s="32"/>
      <c r="DD352" s="32"/>
      <c r="DE352" s="32"/>
      <c r="DF352" s="32"/>
      <c r="DG352" s="32"/>
      <c r="DH352" s="32"/>
      <c r="DI352" s="32"/>
      <c r="DJ352" s="32"/>
      <c r="DK352" s="32"/>
      <c r="DL352" s="32"/>
      <c r="DM352" s="32"/>
      <c r="DN352" s="32"/>
      <c r="DO352" s="32"/>
      <c r="DP352" s="32"/>
      <c r="DQ352" s="32"/>
      <c r="DR352" s="32"/>
      <c r="DS352" s="32"/>
      <c r="DT352" s="32"/>
      <c r="DU352" s="32"/>
      <c r="DV352" s="32"/>
      <c r="DW352" s="32"/>
      <c r="DX352" s="32"/>
      <c r="DY352" s="32"/>
      <c r="DZ352" s="32"/>
      <c r="EA352" s="32"/>
      <c r="EB352" s="32"/>
      <c r="EC352" s="32"/>
    </row>
    <row r="353" spans="1:133" s="13" customFormat="1" ht="110.25" x14ac:dyDescent="0.25">
      <c r="A353" s="130" t="s">
        <v>533</v>
      </c>
      <c r="B353" s="133" t="s">
        <v>704</v>
      </c>
      <c r="C353" s="118" t="s">
        <v>705</v>
      </c>
      <c r="D353" s="127" t="s">
        <v>706</v>
      </c>
      <c r="E353" s="128">
        <v>0.84</v>
      </c>
      <c r="F353" s="128">
        <v>0.9</v>
      </c>
      <c r="G353" s="104" t="s">
        <v>717</v>
      </c>
      <c r="H353" s="104" t="s">
        <v>1483</v>
      </c>
      <c r="I353" s="103" t="s">
        <v>718</v>
      </c>
      <c r="J353" s="103" t="s">
        <v>1683</v>
      </c>
      <c r="K353" s="56">
        <v>10983</v>
      </c>
      <c r="L353" s="86">
        <v>40000</v>
      </c>
      <c r="M353" s="103" t="s">
        <v>709</v>
      </c>
      <c r="N353" s="56" t="s">
        <v>97</v>
      </c>
      <c r="O353" s="54" t="s">
        <v>710</v>
      </c>
      <c r="P353" s="58" t="s">
        <v>39</v>
      </c>
      <c r="Q353" s="171" t="s">
        <v>1680</v>
      </c>
      <c r="R353" s="182">
        <v>0</v>
      </c>
      <c r="S353" s="180">
        <v>3000</v>
      </c>
      <c r="T353" s="180">
        <v>18000</v>
      </c>
      <c r="U353" s="188">
        <v>19000</v>
      </c>
      <c r="V353" s="59"/>
      <c r="W353" s="60"/>
      <c r="X353" s="60"/>
      <c r="Y353" s="60"/>
      <c r="Z353" s="60"/>
      <c r="AA353" s="61"/>
      <c r="AB353" s="62">
        <v>2500000000</v>
      </c>
      <c r="AC353" s="60"/>
      <c r="AD353" s="60"/>
      <c r="AE353" s="60"/>
      <c r="AF353" s="60"/>
      <c r="AG353" s="60"/>
      <c r="AH353" s="63"/>
      <c r="AI353" s="62"/>
      <c r="AJ353" s="60">
        <v>2500000000</v>
      </c>
      <c r="AK353" s="60"/>
      <c r="AL353" s="60"/>
      <c r="AM353" s="60"/>
      <c r="AN353" s="60"/>
      <c r="AO353" s="63"/>
      <c r="AP353" s="62">
        <v>0</v>
      </c>
      <c r="AQ353" s="60">
        <v>2500000000</v>
      </c>
      <c r="AR353" s="60"/>
      <c r="AS353" s="60"/>
      <c r="AT353" s="60"/>
      <c r="AU353" s="60"/>
      <c r="AV353" s="64"/>
      <c r="AW353" s="55">
        <f t="shared" si="28"/>
        <v>0</v>
      </c>
      <c r="AX353" s="55">
        <f t="shared" si="29"/>
        <v>2500000000</v>
      </c>
      <c r="AY353" s="55">
        <f t="shared" si="30"/>
        <v>2500000000</v>
      </c>
      <c r="AZ353" s="55">
        <f t="shared" si="31"/>
        <v>2500000000</v>
      </c>
      <c r="BA353" s="55">
        <f t="shared" si="32"/>
        <v>7500000000</v>
      </c>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c r="BY353" s="32"/>
      <c r="BZ353" s="32"/>
      <c r="CA353" s="32"/>
      <c r="CB353" s="32"/>
      <c r="CC353" s="32"/>
      <c r="CD353" s="32"/>
      <c r="CE353" s="32"/>
      <c r="CF353" s="32"/>
      <c r="CG353" s="32"/>
      <c r="CH353" s="32"/>
      <c r="CI353" s="32"/>
      <c r="CJ353" s="32"/>
      <c r="CK353" s="32"/>
      <c r="CL353" s="32"/>
      <c r="CM353" s="32"/>
      <c r="CN353" s="32"/>
      <c r="CO353" s="32"/>
      <c r="CP353" s="32"/>
      <c r="CQ353" s="32"/>
      <c r="CR353" s="32"/>
      <c r="CS353" s="32"/>
      <c r="CT353" s="32"/>
      <c r="CU353" s="32"/>
      <c r="CV353" s="32"/>
      <c r="CW353" s="32"/>
      <c r="CX353" s="32"/>
      <c r="CY353" s="32"/>
      <c r="CZ353" s="32"/>
      <c r="DA353" s="32"/>
      <c r="DB353" s="32"/>
      <c r="DC353" s="32"/>
      <c r="DD353" s="32"/>
      <c r="DE353" s="32"/>
      <c r="DF353" s="32"/>
      <c r="DG353" s="32"/>
      <c r="DH353" s="32"/>
      <c r="DI353" s="32"/>
      <c r="DJ353" s="32"/>
      <c r="DK353" s="32"/>
      <c r="DL353" s="32"/>
      <c r="DM353" s="32"/>
      <c r="DN353" s="32"/>
      <c r="DO353" s="32"/>
      <c r="DP353" s="32"/>
      <c r="DQ353" s="32"/>
      <c r="DR353" s="32"/>
      <c r="DS353" s="32"/>
      <c r="DT353" s="32"/>
      <c r="DU353" s="32"/>
      <c r="DV353" s="32"/>
      <c r="DW353" s="32"/>
      <c r="DX353" s="32"/>
      <c r="DY353" s="32"/>
      <c r="DZ353" s="32"/>
      <c r="EA353" s="32"/>
      <c r="EB353" s="32"/>
      <c r="EC353" s="32"/>
    </row>
    <row r="354" spans="1:133" s="13" customFormat="1" ht="94.5" x14ac:dyDescent="0.25">
      <c r="A354" s="130" t="s">
        <v>533</v>
      </c>
      <c r="B354" s="133" t="s">
        <v>704</v>
      </c>
      <c r="C354" s="118" t="s">
        <v>705</v>
      </c>
      <c r="D354" s="127" t="s">
        <v>706</v>
      </c>
      <c r="E354" s="128">
        <v>0.84</v>
      </c>
      <c r="F354" s="128">
        <v>0.9</v>
      </c>
      <c r="G354" s="122" t="s">
        <v>719</v>
      </c>
      <c r="H354" s="122" t="s">
        <v>1484</v>
      </c>
      <c r="I354" s="103" t="s">
        <v>720</v>
      </c>
      <c r="J354" s="103" t="s">
        <v>1682</v>
      </c>
      <c r="K354" s="178">
        <v>20</v>
      </c>
      <c r="L354" s="179">
        <v>100</v>
      </c>
      <c r="M354" s="103" t="s">
        <v>709</v>
      </c>
      <c r="N354" s="56" t="s">
        <v>97</v>
      </c>
      <c r="O354" s="54" t="s">
        <v>710</v>
      </c>
      <c r="P354" s="58" t="s">
        <v>39</v>
      </c>
      <c r="Q354" s="171" t="s">
        <v>1680</v>
      </c>
      <c r="R354" s="182">
        <v>0</v>
      </c>
      <c r="S354" s="178">
        <v>30</v>
      </c>
      <c r="T354" s="178">
        <v>50</v>
      </c>
      <c r="U354" s="183">
        <v>0</v>
      </c>
      <c r="V354" s="59"/>
      <c r="W354" s="60"/>
      <c r="X354" s="60"/>
      <c r="Y354" s="60"/>
      <c r="Z354" s="60"/>
      <c r="AA354" s="61"/>
      <c r="AB354" s="62">
        <v>1200000000</v>
      </c>
      <c r="AC354" s="60"/>
      <c r="AD354" s="60"/>
      <c r="AE354" s="60"/>
      <c r="AF354" s="60"/>
      <c r="AG354" s="60"/>
      <c r="AH354" s="63"/>
      <c r="AI354" s="62">
        <v>1000000000</v>
      </c>
      <c r="AJ354" s="60"/>
      <c r="AK354" s="60"/>
      <c r="AL354" s="60"/>
      <c r="AM354" s="60"/>
      <c r="AN354" s="60"/>
      <c r="AO354" s="63"/>
      <c r="AP354" s="62">
        <v>0</v>
      </c>
      <c r="AQ354" s="60">
        <v>0</v>
      </c>
      <c r="AR354" s="60"/>
      <c r="AS354" s="60"/>
      <c r="AT354" s="60"/>
      <c r="AU354" s="60"/>
      <c r="AV354" s="64"/>
      <c r="AW354" s="55">
        <f t="shared" si="28"/>
        <v>0</v>
      </c>
      <c r="AX354" s="55">
        <f t="shared" si="29"/>
        <v>1200000000</v>
      </c>
      <c r="AY354" s="55">
        <f t="shared" si="30"/>
        <v>1000000000</v>
      </c>
      <c r="AZ354" s="55">
        <f t="shared" si="31"/>
        <v>0</v>
      </c>
      <c r="BA354" s="55">
        <f t="shared" si="32"/>
        <v>2200000000</v>
      </c>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c r="BY354" s="32"/>
      <c r="BZ354" s="32"/>
      <c r="CA354" s="32"/>
      <c r="CB354" s="32"/>
      <c r="CC354" s="32"/>
      <c r="CD354" s="32"/>
      <c r="CE354" s="32"/>
      <c r="CF354" s="32"/>
      <c r="CG354" s="32"/>
      <c r="CH354" s="32"/>
      <c r="CI354" s="32"/>
      <c r="CJ354" s="32"/>
      <c r="CK354" s="32"/>
      <c r="CL354" s="32"/>
      <c r="CM354" s="32"/>
      <c r="CN354" s="32"/>
      <c r="CO354" s="32"/>
      <c r="CP354" s="32"/>
      <c r="CQ354" s="32"/>
      <c r="CR354" s="32"/>
      <c r="CS354" s="32"/>
      <c r="CT354" s="32"/>
      <c r="CU354" s="32"/>
      <c r="CV354" s="32"/>
      <c r="CW354" s="32"/>
      <c r="CX354" s="32"/>
      <c r="CY354" s="32"/>
      <c r="CZ354" s="32"/>
      <c r="DA354" s="32"/>
      <c r="DB354" s="32"/>
      <c r="DC354" s="32"/>
      <c r="DD354" s="32"/>
      <c r="DE354" s="32"/>
      <c r="DF354" s="32"/>
      <c r="DG354" s="32"/>
      <c r="DH354" s="32"/>
      <c r="DI354" s="32"/>
      <c r="DJ354" s="32"/>
      <c r="DK354" s="32"/>
      <c r="DL354" s="32"/>
      <c r="DM354" s="32"/>
      <c r="DN354" s="32"/>
      <c r="DO354" s="32"/>
      <c r="DP354" s="32"/>
      <c r="DQ354" s="32"/>
      <c r="DR354" s="32"/>
      <c r="DS354" s="32"/>
      <c r="DT354" s="32"/>
      <c r="DU354" s="32"/>
      <c r="DV354" s="32"/>
      <c r="DW354" s="32"/>
      <c r="DX354" s="32"/>
      <c r="DY354" s="32"/>
      <c r="DZ354" s="32"/>
      <c r="EA354" s="32"/>
      <c r="EB354" s="32"/>
      <c r="EC354" s="32"/>
    </row>
    <row r="355" spans="1:133" s="13" customFormat="1" ht="94.5" x14ac:dyDescent="0.25">
      <c r="A355" s="130" t="s">
        <v>533</v>
      </c>
      <c r="B355" s="133" t="s">
        <v>704</v>
      </c>
      <c r="C355" s="118" t="s">
        <v>705</v>
      </c>
      <c r="D355" s="127" t="s">
        <v>706</v>
      </c>
      <c r="E355" s="128">
        <v>0.84</v>
      </c>
      <c r="F355" s="128">
        <v>0.9</v>
      </c>
      <c r="G355" s="122" t="s">
        <v>719</v>
      </c>
      <c r="H355" s="122" t="s">
        <v>1485</v>
      </c>
      <c r="I355" s="103" t="s">
        <v>721</v>
      </c>
      <c r="J355" s="103" t="s">
        <v>1682</v>
      </c>
      <c r="K355" s="178">
        <v>0</v>
      </c>
      <c r="L355" s="179">
        <v>100</v>
      </c>
      <c r="M355" s="103" t="s">
        <v>709</v>
      </c>
      <c r="N355" s="56" t="s">
        <v>97</v>
      </c>
      <c r="O355" s="54" t="s">
        <v>710</v>
      </c>
      <c r="P355" s="58" t="s">
        <v>39</v>
      </c>
      <c r="Q355" s="171" t="s">
        <v>1680</v>
      </c>
      <c r="R355" s="182">
        <v>0</v>
      </c>
      <c r="S355" s="178">
        <v>0</v>
      </c>
      <c r="T355" s="178">
        <v>50</v>
      </c>
      <c r="U355" s="183">
        <v>50</v>
      </c>
      <c r="V355" s="59"/>
      <c r="W355" s="60"/>
      <c r="X355" s="60"/>
      <c r="Y355" s="60"/>
      <c r="Z355" s="60"/>
      <c r="AA355" s="61"/>
      <c r="AB355" s="62"/>
      <c r="AC355" s="60"/>
      <c r="AD355" s="60"/>
      <c r="AE355" s="60"/>
      <c r="AF355" s="60"/>
      <c r="AG355" s="60"/>
      <c r="AH355" s="63"/>
      <c r="AI355" s="62">
        <v>1000000000</v>
      </c>
      <c r="AJ355" s="60"/>
      <c r="AK355" s="60"/>
      <c r="AL355" s="60"/>
      <c r="AM355" s="60"/>
      <c r="AN355" s="60"/>
      <c r="AO355" s="63"/>
      <c r="AP355" s="62">
        <v>2000000000</v>
      </c>
      <c r="AQ355" s="60">
        <v>0</v>
      </c>
      <c r="AR355" s="60"/>
      <c r="AS355" s="60"/>
      <c r="AT355" s="60"/>
      <c r="AU355" s="60"/>
      <c r="AV355" s="64"/>
      <c r="AW355" s="55">
        <f t="shared" si="28"/>
        <v>0</v>
      </c>
      <c r="AX355" s="55">
        <f t="shared" si="29"/>
        <v>0</v>
      </c>
      <c r="AY355" s="55">
        <f t="shared" si="30"/>
        <v>1000000000</v>
      </c>
      <c r="AZ355" s="55">
        <f t="shared" si="31"/>
        <v>2000000000</v>
      </c>
      <c r="BA355" s="55">
        <f t="shared" si="32"/>
        <v>3000000000</v>
      </c>
      <c r="BB355" s="32"/>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c r="BY355" s="32"/>
      <c r="BZ355" s="32"/>
      <c r="CA355" s="32"/>
      <c r="CB355" s="32"/>
      <c r="CC355" s="32"/>
      <c r="CD355" s="32"/>
      <c r="CE355" s="32"/>
      <c r="CF355" s="32"/>
      <c r="CG355" s="32"/>
      <c r="CH355" s="32"/>
      <c r="CI355" s="32"/>
      <c r="CJ355" s="32"/>
      <c r="CK355" s="32"/>
      <c r="CL355" s="32"/>
      <c r="CM355" s="32"/>
      <c r="CN355" s="32"/>
      <c r="CO355" s="32"/>
      <c r="CP355" s="32"/>
      <c r="CQ355" s="32"/>
      <c r="CR355" s="32"/>
      <c r="CS355" s="32"/>
      <c r="CT355" s="32"/>
      <c r="CU355" s="32"/>
      <c r="CV355" s="32"/>
      <c r="CW355" s="32"/>
      <c r="CX355" s="32"/>
      <c r="CY355" s="32"/>
      <c r="CZ355" s="32"/>
      <c r="DA355" s="32"/>
      <c r="DB355" s="32"/>
      <c r="DC355" s="32"/>
      <c r="DD355" s="32"/>
      <c r="DE355" s="32"/>
      <c r="DF355" s="32"/>
      <c r="DG355" s="32"/>
      <c r="DH355" s="32"/>
      <c r="DI355" s="32"/>
      <c r="DJ355" s="32"/>
      <c r="DK355" s="32"/>
      <c r="DL355" s="32"/>
      <c r="DM355" s="32"/>
      <c r="DN355" s="32"/>
      <c r="DO355" s="32"/>
      <c r="DP355" s="32"/>
      <c r="DQ355" s="32"/>
      <c r="DR355" s="32"/>
      <c r="DS355" s="32"/>
      <c r="DT355" s="32"/>
      <c r="DU355" s="32"/>
      <c r="DV355" s="32"/>
      <c r="DW355" s="32"/>
      <c r="DX355" s="32"/>
      <c r="DY355" s="32"/>
      <c r="DZ355" s="32"/>
      <c r="EA355" s="32"/>
      <c r="EB355" s="32"/>
      <c r="EC355" s="32"/>
    </row>
    <row r="356" spans="1:133" s="13" customFormat="1" ht="78.75" x14ac:dyDescent="0.25">
      <c r="A356" s="130" t="s">
        <v>533</v>
      </c>
      <c r="B356" s="133" t="s">
        <v>704</v>
      </c>
      <c r="C356" s="118" t="s">
        <v>705</v>
      </c>
      <c r="D356" s="127" t="s">
        <v>706</v>
      </c>
      <c r="E356" s="128">
        <v>0.84</v>
      </c>
      <c r="F356" s="128">
        <v>0.9</v>
      </c>
      <c r="G356" s="122" t="s">
        <v>719</v>
      </c>
      <c r="H356" s="122" t="s">
        <v>1486</v>
      </c>
      <c r="I356" s="103" t="s">
        <v>722</v>
      </c>
      <c r="J356" s="103" t="s">
        <v>1683</v>
      </c>
      <c r="K356" s="86">
        <v>0</v>
      </c>
      <c r="L356" s="86">
        <v>3500</v>
      </c>
      <c r="M356" s="103" t="s">
        <v>709</v>
      </c>
      <c r="N356" s="56" t="s">
        <v>97</v>
      </c>
      <c r="O356" s="54" t="s">
        <v>710</v>
      </c>
      <c r="P356" s="58" t="s">
        <v>39</v>
      </c>
      <c r="Q356" s="171" t="s">
        <v>1680</v>
      </c>
      <c r="R356" s="187">
        <v>500</v>
      </c>
      <c r="S356" s="180">
        <v>700</v>
      </c>
      <c r="T356" s="180">
        <v>1000</v>
      </c>
      <c r="U356" s="188">
        <v>1300</v>
      </c>
      <c r="V356" s="59">
        <v>1235800000</v>
      </c>
      <c r="W356" s="60"/>
      <c r="X356" s="60"/>
      <c r="Y356" s="60"/>
      <c r="Z356" s="60"/>
      <c r="AA356" s="61"/>
      <c r="AB356" s="62">
        <v>2900000000</v>
      </c>
      <c r="AC356" s="60"/>
      <c r="AD356" s="60"/>
      <c r="AE356" s="60"/>
      <c r="AF356" s="60"/>
      <c r="AG356" s="60"/>
      <c r="AH356" s="63"/>
      <c r="AI356" s="62">
        <v>2100000000</v>
      </c>
      <c r="AJ356" s="60"/>
      <c r="AK356" s="60"/>
      <c r="AL356" s="60"/>
      <c r="AM356" s="60"/>
      <c r="AN356" s="60"/>
      <c r="AO356" s="63"/>
      <c r="AP356" s="62">
        <v>2100000000</v>
      </c>
      <c r="AQ356" s="60"/>
      <c r="AR356" s="60"/>
      <c r="AS356" s="60"/>
      <c r="AT356" s="60"/>
      <c r="AU356" s="60"/>
      <c r="AV356" s="64"/>
      <c r="AW356" s="55">
        <f t="shared" si="28"/>
        <v>1235800000</v>
      </c>
      <c r="AX356" s="55">
        <f t="shared" si="29"/>
        <v>2900000000</v>
      </c>
      <c r="AY356" s="55">
        <f t="shared" si="30"/>
        <v>2100000000</v>
      </c>
      <c r="AZ356" s="55">
        <f t="shared" si="31"/>
        <v>2100000000</v>
      </c>
      <c r="BA356" s="55">
        <f t="shared" si="32"/>
        <v>8335800000</v>
      </c>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row>
    <row r="357" spans="1:133" s="13" customFormat="1" ht="94.5" x14ac:dyDescent="0.25">
      <c r="A357" s="130" t="s">
        <v>533</v>
      </c>
      <c r="B357" s="133" t="s">
        <v>704</v>
      </c>
      <c r="C357" s="118" t="s">
        <v>723</v>
      </c>
      <c r="D357" s="127" t="s">
        <v>706</v>
      </c>
      <c r="E357" s="128">
        <v>0.84</v>
      </c>
      <c r="F357" s="128">
        <v>0.9</v>
      </c>
      <c r="G357" s="122" t="s">
        <v>724</v>
      </c>
      <c r="H357" s="122" t="s">
        <v>1487</v>
      </c>
      <c r="I357" s="103" t="s">
        <v>725</v>
      </c>
      <c r="J357" s="103" t="s">
        <v>1683</v>
      </c>
      <c r="K357" s="56">
        <v>8284</v>
      </c>
      <c r="L357" s="86">
        <v>48000</v>
      </c>
      <c r="M357" s="103" t="s">
        <v>709</v>
      </c>
      <c r="N357" s="56" t="s">
        <v>97</v>
      </c>
      <c r="O357" s="54" t="s">
        <v>710</v>
      </c>
      <c r="P357" s="58" t="s">
        <v>39</v>
      </c>
      <c r="Q357" s="171" t="s">
        <v>1680</v>
      </c>
      <c r="R357" s="187">
        <v>3000</v>
      </c>
      <c r="S357" s="180">
        <v>8000</v>
      </c>
      <c r="T357" s="180">
        <v>16000</v>
      </c>
      <c r="U357" s="188">
        <v>21000</v>
      </c>
      <c r="V357" s="59">
        <v>122232000</v>
      </c>
      <c r="W357" s="60"/>
      <c r="X357" s="60"/>
      <c r="Y357" s="60"/>
      <c r="Z357" s="60"/>
      <c r="AA357" s="61"/>
      <c r="AB357" s="62">
        <v>1000000000</v>
      </c>
      <c r="AC357" s="60"/>
      <c r="AD357" s="60"/>
      <c r="AE357" s="60"/>
      <c r="AF357" s="60"/>
      <c r="AG357" s="60"/>
      <c r="AH357" s="63"/>
      <c r="AI357" s="62">
        <v>1000000000</v>
      </c>
      <c r="AJ357" s="60"/>
      <c r="AK357" s="60"/>
      <c r="AL357" s="60"/>
      <c r="AM357" s="60"/>
      <c r="AN357" s="60"/>
      <c r="AO357" s="63"/>
      <c r="AP357" s="62">
        <v>1000000000</v>
      </c>
      <c r="AQ357" s="60"/>
      <c r="AR357" s="60"/>
      <c r="AS357" s="60"/>
      <c r="AT357" s="60"/>
      <c r="AU357" s="60"/>
      <c r="AV357" s="64"/>
      <c r="AW357" s="55">
        <f t="shared" si="28"/>
        <v>122232000</v>
      </c>
      <c r="AX357" s="55">
        <f t="shared" si="29"/>
        <v>1000000000</v>
      </c>
      <c r="AY357" s="55">
        <f t="shared" si="30"/>
        <v>1000000000</v>
      </c>
      <c r="AZ357" s="55">
        <f t="shared" si="31"/>
        <v>1000000000</v>
      </c>
      <c r="BA357" s="55">
        <f t="shared" si="32"/>
        <v>3122232000</v>
      </c>
      <c r="BB357" s="32"/>
      <c r="BC357" s="32"/>
      <c r="BD357" s="32"/>
      <c r="BE357" s="32"/>
      <c r="BF357" s="32"/>
      <c r="BG357" s="32"/>
      <c r="BH357" s="32"/>
      <c r="BI357" s="32"/>
      <c r="BJ357" s="32"/>
      <c r="BK357" s="32"/>
      <c r="BL357" s="32"/>
      <c r="BM357" s="32"/>
      <c r="BN357" s="32"/>
      <c r="BO357" s="32"/>
      <c r="BP357" s="32"/>
      <c r="BQ357" s="32"/>
      <c r="BR357" s="32"/>
      <c r="BS357" s="32"/>
      <c r="BT357" s="32"/>
      <c r="BU357" s="32"/>
      <c r="BV357" s="32"/>
      <c r="BW357" s="32"/>
      <c r="BX357" s="32"/>
      <c r="BY357" s="32"/>
      <c r="BZ357" s="32"/>
      <c r="CA357" s="32"/>
      <c r="CB357" s="32"/>
      <c r="CC357" s="32"/>
      <c r="CD357" s="32"/>
      <c r="CE357" s="32"/>
      <c r="CF357" s="32"/>
      <c r="CG357" s="32"/>
      <c r="CH357" s="32"/>
      <c r="CI357" s="32"/>
      <c r="CJ357" s="32"/>
      <c r="CK357" s="32"/>
      <c r="CL357" s="32"/>
      <c r="CM357" s="32"/>
      <c r="CN357" s="32"/>
      <c r="CO357" s="32"/>
      <c r="CP357" s="32"/>
      <c r="CQ357" s="32"/>
      <c r="CR357" s="32"/>
      <c r="CS357" s="32"/>
      <c r="CT357" s="32"/>
      <c r="CU357" s="32"/>
      <c r="CV357" s="32"/>
      <c r="CW357" s="32"/>
      <c r="CX357" s="32"/>
      <c r="CY357" s="32"/>
      <c r="CZ357" s="32"/>
      <c r="DA357" s="32"/>
      <c r="DB357" s="32"/>
      <c r="DC357" s="32"/>
      <c r="DD357" s="32"/>
      <c r="DE357" s="32"/>
      <c r="DF357" s="32"/>
      <c r="DG357" s="32"/>
      <c r="DH357" s="32"/>
      <c r="DI357" s="32"/>
      <c r="DJ357" s="32"/>
      <c r="DK357" s="32"/>
      <c r="DL357" s="32"/>
      <c r="DM357" s="32"/>
      <c r="DN357" s="32"/>
      <c r="DO357" s="32"/>
      <c r="DP357" s="32"/>
      <c r="DQ357" s="32"/>
      <c r="DR357" s="32"/>
      <c r="DS357" s="32"/>
      <c r="DT357" s="32"/>
      <c r="DU357" s="32"/>
      <c r="DV357" s="32"/>
      <c r="DW357" s="32"/>
      <c r="DX357" s="32"/>
      <c r="DY357" s="32"/>
      <c r="DZ357" s="32"/>
      <c r="EA357" s="32"/>
      <c r="EB357" s="32"/>
      <c r="EC357" s="32"/>
    </row>
    <row r="358" spans="1:133" s="13" customFormat="1" ht="78.75" x14ac:dyDescent="0.25">
      <c r="A358" s="130" t="s">
        <v>533</v>
      </c>
      <c r="B358" s="133" t="s">
        <v>704</v>
      </c>
      <c r="C358" s="118" t="s">
        <v>723</v>
      </c>
      <c r="D358" s="127" t="s">
        <v>706</v>
      </c>
      <c r="E358" s="128">
        <v>0.84</v>
      </c>
      <c r="F358" s="128">
        <v>0.9</v>
      </c>
      <c r="G358" s="122" t="s">
        <v>724</v>
      </c>
      <c r="H358" s="122" t="s">
        <v>1488</v>
      </c>
      <c r="I358" s="103" t="s">
        <v>726</v>
      </c>
      <c r="J358" s="103" t="s">
        <v>1683</v>
      </c>
      <c r="K358" s="56">
        <v>0</v>
      </c>
      <c r="L358" s="86">
        <v>96000</v>
      </c>
      <c r="M358" s="103" t="s">
        <v>709</v>
      </c>
      <c r="N358" s="56" t="s">
        <v>97</v>
      </c>
      <c r="O358" s="54" t="s">
        <v>710</v>
      </c>
      <c r="P358" s="58" t="s">
        <v>39</v>
      </c>
      <c r="Q358" s="171" t="s">
        <v>1680</v>
      </c>
      <c r="R358" s="182">
        <v>0</v>
      </c>
      <c r="S358" s="180">
        <v>15000</v>
      </c>
      <c r="T358" s="180">
        <v>40000</v>
      </c>
      <c r="U358" s="188">
        <v>41000</v>
      </c>
      <c r="V358" s="59">
        <v>0</v>
      </c>
      <c r="W358" s="60"/>
      <c r="X358" s="60"/>
      <c r="Y358" s="60"/>
      <c r="Z358" s="60"/>
      <c r="AA358" s="61"/>
      <c r="AB358" s="62">
        <v>1500000000</v>
      </c>
      <c r="AC358" s="60"/>
      <c r="AD358" s="60"/>
      <c r="AE358" s="60"/>
      <c r="AF358" s="60"/>
      <c r="AG358" s="60"/>
      <c r="AH358" s="63"/>
      <c r="AI358" s="62">
        <v>1500000000</v>
      </c>
      <c r="AJ358" s="60"/>
      <c r="AK358" s="60"/>
      <c r="AL358" s="60"/>
      <c r="AM358" s="60"/>
      <c r="AN358" s="60"/>
      <c r="AO358" s="63"/>
      <c r="AP358" s="62">
        <v>1500000000</v>
      </c>
      <c r="AQ358" s="60"/>
      <c r="AR358" s="60"/>
      <c r="AS358" s="60"/>
      <c r="AT358" s="60"/>
      <c r="AU358" s="60"/>
      <c r="AV358" s="64"/>
      <c r="AW358" s="55">
        <f t="shared" si="28"/>
        <v>0</v>
      </c>
      <c r="AX358" s="55">
        <f t="shared" si="29"/>
        <v>1500000000</v>
      </c>
      <c r="AY358" s="55">
        <f t="shared" si="30"/>
        <v>1500000000</v>
      </c>
      <c r="AZ358" s="55">
        <f t="shared" si="31"/>
        <v>1500000000</v>
      </c>
      <c r="BA358" s="55">
        <f t="shared" si="32"/>
        <v>4500000000</v>
      </c>
      <c r="BB358" s="32"/>
      <c r="BC358" s="32"/>
      <c r="BD358" s="32"/>
      <c r="BE358" s="32"/>
      <c r="BF358" s="32"/>
      <c r="BG358" s="32"/>
      <c r="BH358" s="32"/>
      <c r="BI358" s="32"/>
      <c r="BJ358" s="32"/>
      <c r="BK358" s="32"/>
      <c r="BL358" s="32"/>
      <c r="BM358" s="32"/>
      <c r="BN358" s="32"/>
      <c r="BO358" s="32"/>
      <c r="BP358" s="32"/>
      <c r="BQ358" s="32"/>
      <c r="BR358" s="32"/>
      <c r="BS358" s="32"/>
      <c r="BT358" s="32"/>
      <c r="BU358" s="32"/>
      <c r="BV358" s="32"/>
      <c r="BW358" s="32"/>
      <c r="BX358" s="32"/>
      <c r="BY358" s="32"/>
      <c r="BZ358" s="32"/>
      <c r="CA358" s="32"/>
      <c r="CB358" s="32"/>
      <c r="CC358" s="32"/>
      <c r="CD358" s="32"/>
      <c r="CE358" s="32"/>
      <c r="CF358" s="32"/>
      <c r="CG358" s="32"/>
      <c r="CH358" s="32"/>
      <c r="CI358" s="32"/>
      <c r="CJ358" s="32"/>
      <c r="CK358" s="32"/>
      <c r="CL358" s="32"/>
      <c r="CM358" s="32"/>
      <c r="CN358" s="32"/>
      <c r="CO358" s="32"/>
      <c r="CP358" s="32"/>
      <c r="CQ358" s="32"/>
      <c r="CR358" s="32"/>
      <c r="CS358" s="32"/>
      <c r="CT358" s="32"/>
      <c r="CU358" s="32"/>
      <c r="CV358" s="32"/>
      <c r="CW358" s="32"/>
      <c r="CX358" s="32"/>
      <c r="CY358" s="32"/>
      <c r="CZ358" s="32"/>
      <c r="DA358" s="32"/>
      <c r="DB358" s="32"/>
      <c r="DC358" s="32"/>
      <c r="DD358" s="32"/>
      <c r="DE358" s="32"/>
      <c r="DF358" s="32"/>
      <c r="DG358" s="32"/>
      <c r="DH358" s="32"/>
      <c r="DI358" s="32"/>
      <c r="DJ358" s="32"/>
      <c r="DK358" s="32"/>
      <c r="DL358" s="32"/>
      <c r="DM358" s="32"/>
      <c r="DN358" s="32"/>
      <c r="DO358" s="32"/>
      <c r="DP358" s="32"/>
      <c r="DQ358" s="32"/>
      <c r="DR358" s="32"/>
      <c r="DS358" s="32"/>
      <c r="DT358" s="32"/>
      <c r="DU358" s="32"/>
      <c r="DV358" s="32"/>
      <c r="DW358" s="32"/>
      <c r="DX358" s="32"/>
      <c r="DY358" s="32"/>
      <c r="DZ358" s="32"/>
      <c r="EA358" s="32"/>
      <c r="EB358" s="32"/>
      <c r="EC358" s="32"/>
    </row>
    <row r="359" spans="1:133" s="13" customFormat="1" ht="126" x14ac:dyDescent="0.25">
      <c r="A359" s="130" t="s">
        <v>533</v>
      </c>
      <c r="B359" s="133" t="s">
        <v>704</v>
      </c>
      <c r="C359" s="118" t="s">
        <v>723</v>
      </c>
      <c r="D359" s="127" t="s">
        <v>706</v>
      </c>
      <c r="E359" s="128">
        <v>0.84</v>
      </c>
      <c r="F359" s="128">
        <v>0.9</v>
      </c>
      <c r="G359" s="104" t="s">
        <v>727</v>
      </c>
      <c r="H359" s="104" t="s">
        <v>1489</v>
      </c>
      <c r="I359" s="103" t="s">
        <v>728</v>
      </c>
      <c r="J359" s="103" t="s">
        <v>1683</v>
      </c>
      <c r="K359" s="56">
        <v>0</v>
      </c>
      <c r="L359" s="86">
        <v>90000</v>
      </c>
      <c r="M359" s="103" t="s">
        <v>709</v>
      </c>
      <c r="N359" s="56" t="s">
        <v>97</v>
      </c>
      <c r="O359" s="54" t="s">
        <v>710</v>
      </c>
      <c r="P359" s="58" t="s">
        <v>39</v>
      </c>
      <c r="Q359" s="171" t="s">
        <v>1680</v>
      </c>
      <c r="R359" s="187">
        <v>5000</v>
      </c>
      <c r="S359" s="180">
        <v>12000</v>
      </c>
      <c r="T359" s="180">
        <v>35000</v>
      </c>
      <c r="U359" s="188">
        <v>38000</v>
      </c>
      <c r="V359" s="59">
        <v>5048670000</v>
      </c>
      <c r="W359" s="60"/>
      <c r="X359" s="60"/>
      <c r="Y359" s="60"/>
      <c r="Z359" s="60"/>
      <c r="AA359" s="61"/>
      <c r="AB359" s="62">
        <v>3000000000</v>
      </c>
      <c r="AC359" s="60"/>
      <c r="AD359" s="60"/>
      <c r="AE359" s="60"/>
      <c r="AF359" s="60"/>
      <c r="AG359" s="60"/>
      <c r="AH359" s="63"/>
      <c r="AI359" s="62">
        <v>2500000000</v>
      </c>
      <c r="AJ359" s="60"/>
      <c r="AK359" s="60"/>
      <c r="AL359" s="60"/>
      <c r="AM359" s="60"/>
      <c r="AN359" s="60"/>
      <c r="AO359" s="63"/>
      <c r="AP359" s="62">
        <v>2500000000</v>
      </c>
      <c r="AQ359" s="60"/>
      <c r="AR359" s="60"/>
      <c r="AS359" s="60"/>
      <c r="AT359" s="60"/>
      <c r="AU359" s="60"/>
      <c r="AV359" s="64"/>
      <c r="AW359" s="55">
        <f t="shared" si="28"/>
        <v>5048670000</v>
      </c>
      <c r="AX359" s="55">
        <f t="shared" si="29"/>
        <v>3000000000</v>
      </c>
      <c r="AY359" s="55">
        <f t="shared" si="30"/>
        <v>2500000000</v>
      </c>
      <c r="AZ359" s="55">
        <f t="shared" si="31"/>
        <v>2500000000</v>
      </c>
      <c r="BA359" s="55">
        <f t="shared" si="32"/>
        <v>13048670000</v>
      </c>
      <c r="BB359" s="32"/>
      <c r="BC359" s="32"/>
      <c r="BD359" s="32"/>
      <c r="BE359" s="32"/>
      <c r="BF359" s="32"/>
      <c r="BG359" s="32"/>
      <c r="BH359" s="32"/>
      <c r="BI359" s="32"/>
      <c r="BJ359" s="32"/>
      <c r="BK359" s="32"/>
      <c r="BL359" s="32"/>
      <c r="BM359" s="32"/>
      <c r="BN359" s="32"/>
      <c r="BO359" s="32"/>
      <c r="BP359" s="32"/>
      <c r="BQ359" s="32"/>
      <c r="BR359" s="32"/>
      <c r="BS359" s="32"/>
      <c r="BT359" s="32"/>
      <c r="BU359" s="32"/>
      <c r="BV359" s="32"/>
      <c r="BW359" s="32"/>
      <c r="BX359" s="32"/>
      <c r="BY359" s="32"/>
      <c r="BZ359" s="32"/>
      <c r="CA359" s="32"/>
      <c r="CB359" s="32"/>
      <c r="CC359" s="32"/>
      <c r="CD359" s="32"/>
      <c r="CE359" s="32"/>
      <c r="CF359" s="32"/>
      <c r="CG359" s="32"/>
      <c r="CH359" s="32"/>
      <c r="CI359" s="32"/>
      <c r="CJ359" s="32"/>
      <c r="CK359" s="32"/>
      <c r="CL359" s="32"/>
      <c r="CM359" s="32"/>
      <c r="CN359" s="32"/>
      <c r="CO359" s="32"/>
      <c r="CP359" s="32"/>
      <c r="CQ359" s="32"/>
      <c r="CR359" s="32"/>
      <c r="CS359" s="32"/>
      <c r="CT359" s="32"/>
      <c r="CU359" s="32"/>
      <c r="CV359" s="32"/>
      <c r="CW359" s="32"/>
      <c r="CX359" s="32"/>
      <c r="CY359" s="32"/>
      <c r="CZ359" s="32"/>
      <c r="DA359" s="32"/>
      <c r="DB359" s="32"/>
      <c r="DC359" s="32"/>
      <c r="DD359" s="32"/>
      <c r="DE359" s="32"/>
      <c r="DF359" s="32"/>
      <c r="DG359" s="32"/>
      <c r="DH359" s="32"/>
      <c r="DI359" s="32"/>
      <c r="DJ359" s="32"/>
      <c r="DK359" s="32"/>
      <c r="DL359" s="32"/>
      <c r="DM359" s="32"/>
      <c r="DN359" s="32"/>
      <c r="DO359" s="32"/>
      <c r="DP359" s="32"/>
      <c r="DQ359" s="32"/>
      <c r="DR359" s="32"/>
      <c r="DS359" s="32"/>
      <c r="DT359" s="32"/>
      <c r="DU359" s="32"/>
      <c r="DV359" s="32"/>
      <c r="DW359" s="32"/>
      <c r="DX359" s="32"/>
      <c r="DY359" s="32"/>
      <c r="DZ359" s="32"/>
      <c r="EA359" s="32"/>
      <c r="EB359" s="32"/>
      <c r="EC359" s="32"/>
    </row>
    <row r="360" spans="1:133" s="13" customFormat="1" ht="110.25" x14ac:dyDescent="0.25">
      <c r="A360" s="130" t="s">
        <v>533</v>
      </c>
      <c r="B360" s="133" t="s">
        <v>704</v>
      </c>
      <c r="C360" s="118" t="s">
        <v>729</v>
      </c>
      <c r="D360" s="127" t="s">
        <v>706</v>
      </c>
      <c r="E360" s="128">
        <v>0.84</v>
      </c>
      <c r="F360" s="128">
        <v>0.9</v>
      </c>
      <c r="G360" s="104" t="s">
        <v>730</v>
      </c>
      <c r="H360" s="104" t="s">
        <v>1490</v>
      </c>
      <c r="I360" s="103" t="s">
        <v>731</v>
      </c>
      <c r="J360" s="103" t="s">
        <v>1683</v>
      </c>
      <c r="K360" s="56">
        <v>1655</v>
      </c>
      <c r="L360" s="86">
        <v>6000</v>
      </c>
      <c r="M360" s="103" t="s">
        <v>709</v>
      </c>
      <c r="N360" s="56" t="s">
        <v>143</v>
      </c>
      <c r="O360" s="54" t="s">
        <v>710</v>
      </c>
      <c r="P360" s="58" t="s">
        <v>39</v>
      </c>
      <c r="Q360" s="171" t="s">
        <v>1680</v>
      </c>
      <c r="R360" s="187">
        <v>200</v>
      </c>
      <c r="S360" s="180">
        <v>1000</v>
      </c>
      <c r="T360" s="180">
        <v>2000</v>
      </c>
      <c r="U360" s="188">
        <v>2800</v>
      </c>
      <c r="V360" s="59">
        <v>700000000</v>
      </c>
      <c r="W360" s="60"/>
      <c r="X360" s="60"/>
      <c r="Y360" s="60"/>
      <c r="Z360" s="60"/>
      <c r="AA360" s="61"/>
      <c r="AB360" s="62"/>
      <c r="AC360" s="60">
        <v>600000000</v>
      </c>
      <c r="AD360" s="60"/>
      <c r="AE360" s="60"/>
      <c r="AF360" s="60"/>
      <c r="AG360" s="60"/>
      <c r="AH360" s="63"/>
      <c r="AI360" s="62">
        <v>600000000</v>
      </c>
      <c r="AJ360" s="60"/>
      <c r="AK360" s="60"/>
      <c r="AL360" s="60"/>
      <c r="AM360" s="60"/>
      <c r="AN360" s="60"/>
      <c r="AO360" s="63"/>
      <c r="AP360" s="62">
        <v>600000000</v>
      </c>
      <c r="AQ360" s="60"/>
      <c r="AR360" s="60"/>
      <c r="AS360" s="60"/>
      <c r="AT360" s="60"/>
      <c r="AU360" s="60"/>
      <c r="AV360" s="64"/>
      <c r="AW360" s="55">
        <f t="shared" si="28"/>
        <v>700000000</v>
      </c>
      <c r="AX360" s="55">
        <f t="shared" si="29"/>
        <v>600000000</v>
      </c>
      <c r="AY360" s="55">
        <f t="shared" si="30"/>
        <v>600000000</v>
      </c>
      <c r="AZ360" s="55">
        <f t="shared" si="31"/>
        <v>600000000</v>
      </c>
      <c r="BA360" s="55">
        <f t="shared" si="32"/>
        <v>2500000000</v>
      </c>
      <c r="BB360" s="32"/>
      <c r="BC360" s="32"/>
      <c r="BD360" s="32"/>
      <c r="BE360" s="32"/>
      <c r="BF360" s="32"/>
      <c r="BG360" s="32"/>
      <c r="BH360" s="32"/>
      <c r="BI360" s="32"/>
      <c r="BJ360" s="32"/>
      <c r="BK360" s="32"/>
      <c r="BL360" s="32"/>
      <c r="BM360" s="32"/>
      <c r="BN360" s="32"/>
      <c r="BO360" s="32"/>
      <c r="BP360" s="32"/>
      <c r="BQ360" s="32"/>
      <c r="BR360" s="32"/>
      <c r="BS360" s="32"/>
      <c r="BT360" s="32"/>
      <c r="BU360" s="32"/>
      <c r="BV360" s="32"/>
      <c r="BW360" s="32"/>
      <c r="BX360" s="32"/>
      <c r="BY360" s="32"/>
      <c r="BZ360" s="32"/>
      <c r="CA360" s="32"/>
      <c r="CB360" s="32"/>
      <c r="CC360" s="32"/>
      <c r="CD360" s="32"/>
      <c r="CE360" s="32"/>
      <c r="CF360" s="32"/>
      <c r="CG360" s="32"/>
      <c r="CH360" s="32"/>
      <c r="CI360" s="32"/>
      <c r="CJ360" s="32"/>
      <c r="CK360" s="32"/>
      <c r="CL360" s="32"/>
      <c r="CM360" s="32"/>
      <c r="CN360" s="32"/>
      <c r="CO360" s="32"/>
      <c r="CP360" s="32"/>
      <c r="CQ360" s="32"/>
      <c r="CR360" s="32"/>
      <c r="CS360" s="32"/>
      <c r="CT360" s="32"/>
      <c r="CU360" s="32"/>
      <c r="CV360" s="32"/>
      <c r="CW360" s="32"/>
      <c r="CX360" s="32"/>
      <c r="CY360" s="32"/>
      <c r="CZ360" s="32"/>
      <c r="DA360" s="32"/>
      <c r="DB360" s="32"/>
      <c r="DC360" s="32"/>
      <c r="DD360" s="32"/>
      <c r="DE360" s="32"/>
      <c r="DF360" s="32"/>
      <c r="DG360" s="32"/>
      <c r="DH360" s="32"/>
      <c r="DI360" s="32"/>
      <c r="DJ360" s="32"/>
      <c r="DK360" s="32"/>
      <c r="DL360" s="32"/>
      <c r="DM360" s="32"/>
      <c r="DN360" s="32"/>
      <c r="DO360" s="32"/>
      <c r="DP360" s="32"/>
      <c r="DQ360" s="32"/>
      <c r="DR360" s="32"/>
      <c r="DS360" s="32"/>
      <c r="DT360" s="32"/>
      <c r="DU360" s="32"/>
      <c r="DV360" s="32"/>
      <c r="DW360" s="32"/>
      <c r="DX360" s="32"/>
      <c r="DY360" s="32"/>
      <c r="DZ360" s="32"/>
      <c r="EA360" s="32"/>
      <c r="EB360" s="32"/>
      <c r="EC360" s="32"/>
    </row>
    <row r="361" spans="1:133" s="13" customFormat="1" ht="110.25" x14ac:dyDescent="0.25">
      <c r="A361" s="130" t="s">
        <v>533</v>
      </c>
      <c r="B361" s="133" t="s">
        <v>704</v>
      </c>
      <c r="C361" s="118" t="s">
        <v>729</v>
      </c>
      <c r="D361" s="127" t="s">
        <v>706</v>
      </c>
      <c r="E361" s="128">
        <v>0.84</v>
      </c>
      <c r="F361" s="128">
        <v>0.9</v>
      </c>
      <c r="G361" s="104" t="s">
        <v>732</v>
      </c>
      <c r="H361" s="104" t="s">
        <v>1491</v>
      </c>
      <c r="I361" s="103" t="s">
        <v>733</v>
      </c>
      <c r="J361" s="103" t="s">
        <v>1683</v>
      </c>
      <c r="K361" s="56">
        <v>1655</v>
      </c>
      <c r="L361" s="86">
        <v>6400</v>
      </c>
      <c r="M361" s="103" t="s">
        <v>709</v>
      </c>
      <c r="N361" s="56" t="s">
        <v>143</v>
      </c>
      <c r="O361" s="54" t="s">
        <v>710</v>
      </c>
      <c r="P361" s="58" t="s">
        <v>39</v>
      </c>
      <c r="Q361" s="171" t="s">
        <v>1680</v>
      </c>
      <c r="R361" s="182">
        <v>0</v>
      </c>
      <c r="S361" s="180">
        <v>700</v>
      </c>
      <c r="T361" s="180">
        <v>2300</v>
      </c>
      <c r="U361" s="188">
        <v>3400</v>
      </c>
      <c r="V361" s="59"/>
      <c r="W361" s="60"/>
      <c r="X361" s="60"/>
      <c r="Y361" s="60"/>
      <c r="Z361" s="60"/>
      <c r="AA361" s="61"/>
      <c r="AB361" s="62"/>
      <c r="AC361" s="60">
        <v>700000000</v>
      </c>
      <c r="AD361" s="60"/>
      <c r="AE361" s="60"/>
      <c r="AF361" s="60"/>
      <c r="AG361" s="60"/>
      <c r="AH361" s="63"/>
      <c r="AI361" s="62">
        <v>600000000</v>
      </c>
      <c r="AJ361" s="60"/>
      <c r="AK361" s="60"/>
      <c r="AL361" s="60"/>
      <c r="AM361" s="60"/>
      <c r="AN361" s="60"/>
      <c r="AO361" s="63"/>
      <c r="AP361" s="62">
        <v>600000000</v>
      </c>
      <c r="AQ361" s="60"/>
      <c r="AR361" s="60"/>
      <c r="AS361" s="60"/>
      <c r="AT361" s="60"/>
      <c r="AU361" s="60"/>
      <c r="AV361" s="64"/>
      <c r="AW361" s="55">
        <f t="shared" si="28"/>
        <v>0</v>
      </c>
      <c r="AX361" s="55">
        <f t="shared" si="29"/>
        <v>700000000</v>
      </c>
      <c r="AY361" s="55">
        <f t="shared" si="30"/>
        <v>600000000</v>
      </c>
      <c r="AZ361" s="55">
        <f t="shared" si="31"/>
        <v>600000000</v>
      </c>
      <c r="BA361" s="55">
        <f t="shared" si="32"/>
        <v>1900000000</v>
      </c>
      <c r="BB361" s="32"/>
      <c r="BC361" s="32"/>
      <c r="BD361" s="32"/>
      <c r="BE361" s="32"/>
      <c r="BF361" s="32"/>
      <c r="BG361" s="32"/>
      <c r="BH361" s="32"/>
      <c r="BI361" s="32"/>
      <c r="BJ361" s="32"/>
      <c r="BK361" s="32"/>
      <c r="BL361" s="32"/>
      <c r="BM361" s="32"/>
      <c r="BN361" s="32"/>
      <c r="BO361" s="32"/>
      <c r="BP361" s="32"/>
      <c r="BQ361" s="32"/>
      <c r="BR361" s="32"/>
      <c r="BS361" s="32"/>
      <c r="BT361" s="32"/>
      <c r="BU361" s="32"/>
      <c r="BV361" s="32"/>
      <c r="BW361" s="32"/>
      <c r="BX361" s="32"/>
      <c r="BY361" s="32"/>
      <c r="BZ361" s="32"/>
      <c r="CA361" s="32"/>
      <c r="CB361" s="32"/>
      <c r="CC361" s="32"/>
      <c r="CD361" s="32"/>
      <c r="CE361" s="32"/>
      <c r="CF361" s="32"/>
      <c r="CG361" s="32"/>
      <c r="CH361" s="32"/>
      <c r="CI361" s="32"/>
      <c r="CJ361" s="32"/>
      <c r="CK361" s="32"/>
      <c r="CL361" s="32"/>
      <c r="CM361" s="32"/>
      <c r="CN361" s="32"/>
      <c r="CO361" s="32"/>
      <c r="CP361" s="32"/>
      <c r="CQ361" s="32"/>
      <c r="CR361" s="32"/>
      <c r="CS361" s="32"/>
      <c r="CT361" s="32"/>
      <c r="CU361" s="32"/>
      <c r="CV361" s="32"/>
      <c r="CW361" s="32"/>
      <c r="CX361" s="32"/>
      <c r="CY361" s="32"/>
      <c r="CZ361" s="32"/>
      <c r="DA361" s="32"/>
      <c r="DB361" s="32"/>
      <c r="DC361" s="32"/>
      <c r="DD361" s="32"/>
      <c r="DE361" s="32"/>
      <c r="DF361" s="32"/>
      <c r="DG361" s="32"/>
      <c r="DH361" s="32"/>
      <c r="DI361" s="32"/>
      <c r="DJ361" s="32"/>
      <c r="DK361" s="32"/>
      <c r="DL361" s="32"/>
      <c r="DM361" s="32"/>
      <c r="DN361" s="32"/>
      <c r="DO361" s="32"/>
      <c r="DP361" s="32"/>
      <c r="DQ361" s="32"/>
      <c r="DR361" s="32"/>
      <c r="DS361" s="32"/>
      <c r="DT361" s="32"/>
      <c r="DU361" s="32"/>
      <c r="DV361" s="32"/>
      <c r="DW361" s="32"/>
      <c r="DX361" s="32"/>
      <c r="DY361" s="32"/>
      <c r="DZ361" s="32"/>
      <c r="EA361" s="32"/>
      <c r="EB361" s="32"/>
      <c r="EC361" s="32"/>
    </row>
    <row r="362" spans="1:133" s="13" customFormat="1" ht="94.5" x14ac:dyDescent="0.25">
      <c r="A362" s="130" t="s">
        <v>533</v>
      </c>
      <c r="B362" s="133" t="s">
        <v>704</v>
      </c>
      <c r="C362" s="118" t="s">
        <v>729</v>
      </c>
      <c r="D362" s="127" t="s">
        <v>706</v>
      </c>
      <c r="E362" s="128">
        <v>0.84</v>
      </c>
      <c r="F362" s="128">
        <v>0.9</v>
      </c>
      <c r="G362" s="104" t="s">
        <v>734</v>
      </c>
      <c r="H362" s="104" t="s">
        <v>1492</v>
      </c>
      <c r="I362" s="103" t="s">
        <v>735</v>
      </c>
      <c r="J362" s="103" t="s">
        <v>1683</v>
      </c>
      <c r="K362" s="56">
        <v>0</v>
      </c>
      <c r="L362" s="86">
        <v>12800</v>
      </c>
      <c r="M362" s="103" t="s">
        <v>709</v>
      </c>
      <c r="N362" s="56" t="s">
        <v>143</v>
      </c>
      <c r="O362" s="54" t="s">
        <v>710</v>
      </c>
      <c r="P362" s="58" t="s">
        <v>39</v>
      </c>
      <c r="Q362" s="171" t="s">
        <v>1680</v>
      </c>
      <c r="R362" s="182">
        <v>0</v>
      </c>
      <c r="S362" s="180">
        <v>1500</v>
      </c>
      <c r="T362" s="180">
        <v>5000</v>
      </c>
      <c r="U362" s="188">
        <v>6300</v>
      </c>
      <c r="V362" s="59"/>
      <c r="W362" s="60"/>
      <c r="X362" s="60"/>
      <c r="Y362" s="60"/>
      <c r="Z362" s="60"/>
      <c r="AA362" s="61"/>
      <c r="AB362" s="62"/>
      <c r="AC362" s="60">
        <v>400000000</v>
      </c>
      <c r="AD362" s="60"/>
      <c r="AE362" s="60"/>
      <c r="AF362" s="60"/>
      <c r="AG362" s="60"/>
      <c r="AH362" s="63"/>
      <c r="AI362" s="62">
        <v>300000000</v>
      </c>
      <c r="AJ362" s="60"/>
      <c r="AK362" s="60"/>
      <c r="AL362" s="60"/>
      <c r="AM362" s="60"/>
      <c r="AN362" s="60"/>
      <c r="AO362" s="63"/>
      <c r="AP362" s="62">
        <v>300000000</v>
      </c>
      <c r="AQ362" s="60"/>
      <c r="AR362" s="60"/>
      <c r="AS362" s="60"/>
      <c r="AT362" s="60"/>
      <c r="AU362" s="60"/>
      <c r="AV362" s="64"/>
      <c r="AW362" s="55">
        <f t="shared" si="28"/>
        <v>0</v>
      </c>
      <c r="AX362" s="55">
        <f t="shared" si="29"/>
        <v>400000000</v>
      </c>
      <c r="AY362" s="55">
        <f t="shared" si="30"/>
        <v>300000000</v>
      </c>
      <c r="AZ362" s="55">
        <f t="shared" si="31"/>
        <v>300000000</v>
      </c>
      <c r="BA362" s="55">
        <f t="shared" si="32"/>
        <v>1000000000</v>
      </c>
      <c r="BB362" s="32"/>
      <c r="BC362" s="32"/>
      <c r="BD362" s="32"/>
      <c r="BE362" s="32"/>
      <c r="BF362" s="32"/>
      <c r="BG362" s="32"/>
      <c r="BH362" s="32"/>
      <c r="BI362" s="32"/>
      <c r="BJ362" s="32"/>
      <c r="BK362" s="32"/>
      <c r="BL362" s="32"/>
      <c r="BM362" s="32"/>
      <c r="BN362" s="32"/>
      <c r="BO362" s="32"/>
      <c r="BP362" s="32"/>
      <c r="BQ362" s="32"/>
      <c r="BR362" s="32"/>
      <c r="BS362" s="32"/>
      <c r="BT362" s="32"/>
      <c r="BU362" s="32"/>
      <c r="BV362" s="32"/>
      <c r="BW362" s="32"/>
      <c r="BX362" s="32"/>
      <c r="BY362" s="32"/>
      <c r="BZ362" s="32"/>
      <c r="CA362" s="32"/>
      <c r="CB362" s="32"/>
      <c r="CC362" s="32"/>
      <c r="CD362" s="32"/>
      <c r="CE362" s="32"/>
      <c r="CF362" s="32"/>
      <c r="CG362" s="32"/>
      <c r="CH362" s="32"/>
      <c r="CI362" s="32"/>
      <c r="CJ362" s="32"/>
      <c r="CK362" s="32"/>
      <c r="CL362" s="32"/>
      <c r="CM362" s="32"/>
      <c r="CN362" s="32"/>
      <c r="CO362" s="32"/>
      <c r="CP362" s="32"/>
      <c r="CQ362" s="32"/>
      <c r="CR362" s="32"/>
      <c r="CS362" s="32"/>
      <c r="CT362" s="32"/>
      <c r="CU362" s="32"/>
      <c r="CV362" s="32"/>
      <c r="CW362" s="32"/>
      <c r="CX362" s="32"/>
      <c r="CY362" s="32"/>
      <c r="CZ362" s="32"/>
      <c r="DA362" s="32"/>
      <c r="DB362" s="32"/>
      <c r="DC362" s="32"/>
      <c r="DD362" s="32"/>
      <c r="DE362" s="32"/>
      <c r="DF362" s="32"/>
      <c r="DG362" s="32"/>
      <c r="DH362" s="32"/>
      <c r="DI362" s="32"/>
      <c r="DJ362" s="32"/>
      <c r="DK362" s="32"/>
      <c r="DL362" s="32"/>
      <c r="DM362" s="32"/>
      <c r="DN362" s="32"/>
      <c r="DO362" s="32"/>
      <c r="DP362" s="32"/>
      <c r="DQ362" s="32"/>
      <c r="DR362" s="32"/>
      <c r="DS362" s="32"/>
      <c r="DT362" s="32"/>
      <c r="DU362" s="32"/>
      <c r="DV362" s="32"/>
      <c r="DW362" s="32"/>
      <c r="DX362" s="32"/>
      <c r="DY362" s="32"/>
      <c r="DZ362" s="32"/>
      <c r="EA362" s="32"/>
      <c r="EB362" s="32"/>
      <c r="EC362" s="32"/>
    </row>
    <row r="363" spans="1:133" s="13" customFormat="1" ht="110.25" x14ac:dyDescent="0.25">
      <c r="A363" s="130" t="s">
        <v>533</v>
      </c>
      <c r="B363" s="133" t="s">
        <v>704</v>
      </c>
      <c r="C363" s="118" t="s">
        <v>736</v>
      </c>
      <c r="D363" s="110" t="s">
        <v>737</v>
      </c>
      <c r="E363" s="125">
        <v>53</v>
      </c>
      <c r="F363" s="126">
        <v>240</v>
      </c>
      <c r="G363" s="104" t="s">
        <v>738</v>
      </c>
      <c r="H363" s="104" t="s">
        <v>1493</v>
      </c>
      <c r="I363" s="103" t="s">
        <v>739</v>
      </c>
      <c r="J363" s="103" t="s">
        <v>1683</v>
      </c>
      <c r="K363" s="56">
        <v>15</v>
      </c>
      <c r="L363" s="86">
        <v>15</v>
      </c>
      <c r="M363" s="103" t="s">
        <v>709</v>
      </c>
      <c r="N363" s="56" t="s">
        <v>187</v>
      </c>
      <c r="O363" s="54" t="s">
        <v>710</v>
      </c>
      <c r="P363" s="58" t="s">
        <v>42</v>
      </c>
      <c r="Q363" s="54" t="s">
        <v>1679</v>
      </c>
      <c r="R363" s="182">
        <v>15</v>
      </c>
      <c r="S363" s="180">
        <v>15</v>
      </c>
      <c r="T363" s="180">
        <v>15</v>
      </c>
      <c r="U363" s="188">
        <v>15</v>
      </c>
      <c r="V363" s="59">
        <v>10588493759</v>
      </c>
      <c r="W363" s="60"/>
      <c r="X363" s="60"/>
      <c r="Y363" s="60"/>
      <c r="Z363" s="60"/>
      <c r="AA363" s="61"/>
      <c r="AB363" s="62">
        <v>20000000000</v>
      </c>
      <c r="AC363" s="60"/>
      <c r="AD363" s="60"/>
      <c r="AE363" s="60"/>
      <c r="AF363" s="60"/>
      <c r="AG363" s="60"/>
      <c r="AH363" s="63"/>
      <c r="AI363" s="62">
        <v>9000000000</v>
      </c>
      <c r="AJ363" s="60"/>
      <c r="AK363" s="60"/>
      <c r="AL363" s="60"/>
      <c r="AM363" s="60"/>
      <c r="AN363" s="60"/>
      <c r="AO363" s="63"/>
      <c r="AP363" s="62">
        <v>10000000000</v>
      </c>
      <c r="AQ363" s="60"/>
      <c r="AR363" s="60"/>
      <c r="AS363" s="60"/>
      <c r="AT363" s="60"/>
      <c r="AU363" s="60"/>
      <c r="AV363" s="64"/>
      <c r="AW363" s="55">
        <f t="shared" si="28"/>
        <v>10588493759</v>
      </c>
      <c r="AX363" s="55">
        <f t="shared" si="29"/>
        <v>20000000000</v>
      </c>
      <c r="AY363" s="55">
        <f t="shared" si="30"/>
        <v>9000000000</v>
      </c>
      <c r="AZ363" s="55">
        <f t="shared" si="31"/>
        <v>10000000000</v>
      </c>
      <c r="BA363" s="55">
        <f t="shared" si="32"/>
        <v>49588493759</v>
      </c>
      <c r="BB363" s="32"/>
      <c r="BC363" s="32"/>
      <c r="BD363" s="32"/>
      <c r="BE363" s="32"/>
      <c r="BF363" s="32"/>
      <c r="BG363" s="32"/>
      <c r="BH363" s="32"/>
      <c r="BI363" s="32"/>
      <c r="BJ363" s="32"/>
      <c r="BK363" s="32"/>
      <c r="BL363" s="32"/>
      <c r="BM363" s="32"/>
      <c r="BN363" s="32"/>
      <c r="BO363" s="32"/>
      <c r="BP363" s="32"/>
      <c r="BQ363" s="32"/>
      <c r="BR363" s="32"/>
      <c r="BS363" s="32"/>
      <c r="BT363" s="32"/>
      <c r="BU363" s="32"/>
      <c r="BV363" s="32"/>
      <c r="BW363" s="32"/>
      <c r="BX363" s="32"/>
      <c r="BY363" s="32"/>
      <c r="BZ363" s="32"/>
      <c r="CA363" s="32"/>
      <c r="CB363" s="32"/>
      <c r="CC363" s="32"/>
      <c r="CD363" s="32"/>
      <c r="CE363" s="32"/>
      <c r="CF363" s="32"/>
      <c r="CG363" s="32"/>
      <c r="CH363" s="32"/>
      <c r="CI363" s="32"/>
      <c r="CJ363" s="32"/>
      <c r="CK363" s="32"/>
      <c r="CL363" s="32"/>
      <c r="CM363" s="32"/>
      <c r="CN363" s="32"/>
      <c r="CO363" s="32"/>
      <c r="CP363" s="32"/>
      <c r="CQ363" s="32"/>
      <c r="CR363" s="32"/>
      <c r="CS363" s="32"/>
      <c r="CT363" s="32"/>
      <c r="CU363" s="32"/>
      <c r="CV363" s="32"/>
      <c r="CW363" s="32"/>
      <c r="CX363" s="32"/>
      <c r="CY363" s="32"/>
      <c r="CZ363" s="32"/>
      <c r="DA363" s="32"/>
      <c r="DB363" s="32"/>
      <c r="DC363" s="32"/>
      <c r="DD363" s="32"/>
      <c r="DE363" s="32"/>
      <c r="DF363" s="32"/>
      <c r="DG363" s="32"/>
      <c r="DH363" s="32"/>
      <c r="DI363" s="32"/>
      <c r="DJ363" s="32"/>
      <c r="DK363" s="32"/>
      <c r="DL363" s="32"/>
      <c r="DM363" s="32"/>
      <c r="DN363" s="32"/>
      <c r="DO363" s="32"/>
      <c r="DP363" s="32"/>
      <c r="DQ363" s="32"/>
      <c r="DR363" s="32"/>
      <c r="DS363" s="32"/>
      <c r="DT363" s="32"/>
      <c r="DU363" s="32"/>
      <c r="DV363" s="32"/>
      <c r="DW363" s="32"/>
      <c r="DX363" s="32"/>
      <c r="DY363" s="32"/>
      <c r="DZ363" s="32"/>
      <c r="EA363" s="32"/>
      <c r="EB363" s="32"/>
      <c r="EC363" s="32"/>
    </row>
    <row r="364" spans="1:133" s="13" customFormat="1" ht="110.25" x14ac:dyDescent="0.25">
      <c r="A364" s="130" t="s">
        <v>533</v>
      </c>
      <c r="B364" s="133" t="s">
        <v>704</v>
      </c>
      <c r="C364" s="118" t="s">
        <v>736</v>
      </c>
      <c r="D364" s="110" t="s">
        <v>737</v>
      </c>
      <c r="E364" s="125">
        <v>53</v>
      </c>
      <c r="F364" s="126">
        <v>240</v>
      </c>
      <c r="G364" s="104" t="s">
        <v>740</v>
      </c>
      <c r="H364" s="104" t="s">
        <v>1494</v>
      </c>
      <c r="I364" s="103" t="s">
        <v>741</v>
      </c>
      <c r="J364" s="103" t="s">
        <v>1683</v>
      </c>
      <c r="K364" s="56">
        <v>53</v>
      </c>
      <c r="L364" s="86">
        <v>240</v>
      </c>
      <c r="M364" s="103" t="s">
        <v>709</v>
      </c>
      <c r="N364" s="56" t="s">
        <v>97</v>
      </c>
      <c r="O364" s="54" t="s">
        <v>710</v>
      </c>
      <c r="P364" s="58" t="s">
        <v>39</v>
      </c>
      <c r="Q364" s="171" t="s">
        <v>1680</v>
      </c>
      <c r="R364" s="182">
        <v>0</v>
      </c>
      <c r="S364" s="180">
        <v>60</v>
      </c>
      <c r="T364" s="180">
        <v>80</v>
      </c>
      <c r="U364" s="188">
        <v>100</v>
      </c>
      <c r="V364" s="59"/>
      <c r="W364" s="60"/>
      <c r="X364" s="60"/>
      <c r="Y364" s="60"/>
      <c r="Z364" s="60"/>
      <c r="AA364" s="61"/>
      <c r="AB364" s="62">
        <v>1000000000</v>
      </c>
      <c r="AC364" s="60"/>
      <c r="AD364" s="60"/>
      <c r="AE364" s="60"/>
      <c r="AF364" s="60"/>
      <c r="AG364" s="60"/>
      <c r="AH364" s="63"/>
      <c r="AI364" s="62">
        <v>900000000</v>
      </c>
      <c r="AJ364" s="60"/>
      <c r="AK364" s="60"/>
      <c r="AL364" s="60"/>
      <c r="AM364" s="60"/>
      <c r="AN364" s="60"/>
      <c r="AO364" s="63"/>
      <c r="AP364" s="62">
        <v>900000000</v>
      </c>
      <c r="AQ364" s="60"/>
      <c r="AR364" s="60"/>
      <c r="AS364" s="60"/>
      <c r="AT364" s="60"/>
      <c r="AU364" s="60"/>
      <c r="AV364" s="64"/>
      <c r="AW364" s="55">
        <f t="shared" si="28"/>
        <v>0</v>
      </c>
      <c r="AX364" s="55">
        <f t="shared" si="29"/>
        <v>1000000000</v>
      </c>
      <c r="AY364" s="55">
        <f t="shared" si="30"/>
        <v>900000000</v>
      </c>
      <c r="AZ364" s="55">
        <f t="shared" si="31"/>
        <v>900000000</v>
      </c>
      <c r="BA364" s="55">
        <f t="shared" si="32"/>
        <v>2800000000</v>
      </c>
      <c r="BB364" s="32"/>
      <c r="BC364" s="32"/>
      <c r="BD364" s="32"/>
      <c r="BE364" s="32"/>
      <c r="BF364" s="32"/>
      <c r="BG364" s="32"/>
      <c r="BH364" s="32"/>
      <c r="BI364" s="32"/>
      <c r="BJ364" s="32"/>
      <c r="BK364" s="32"/>
      <c r="BL364" s="32"/>
      <c r="BM364" s="32"/>
      <c r="BN364" s="32"/>
      <c r="BO364" s="32"/>
      <c r="BP364" s="32"/>
      <c r="BQ364" s="32"/>
      <c r="BR364" s="32"/>
      <c r="BS364" s="32"/>
      <c r="BT364" s="32"/>
      <c r="BU364" s="32"/>
      <c r="BV364" s="32"/>
      <c r="BW364" s="32"/>
      <c r="BX364" s="32"/>
      <c r="BY364" s="32"/>
      <c r="BZ364" s="32"/>
      <c r="CA364" s="32"/>
      <c r="CB364" s="32"/>
      <c r="CC364" s="32"/>
      <c r="CD364" s="32"/>
      <c r="CE364" s="32"/>
      <c r="CF364" s="32"/>
      <c r="CG364" s="32"/>
      <c r="CH364" s="32"/>
      <c r="CI364" s="32"/>
      <c r="CJ364" s="32"/>
      <c r="CK364" s="32"/>
      <c r="CL364" s="32"/>
      <c r="CM364" s="32"/>
      <c r="CN364" s="32"/>
      <c r="CO364" s="32"/>
      <c r="CP364" s="32"/>
      <c r="CQ364" s="32"/>
      <c r="CR364" s="32"/>
      <c r="CS364" s="32"/>
      <c r="CT364" s="32"/>
      <c r="CU364" s="32"/>
      <c r="CV364" s="32"/>
      <c r="CW364" s="32"/>
      <c r="CX364" s="32"/>
      <c r="CY364" s="32"/>
      <c r="CZ364" s="32"/>
      <c r="DA364" s="32"/>
      <c r="DB364" s="32"/>
      <c r="DC364" s="32"/>
      <c r="DD364" s="32"/>
      <c r="DE364" s="32"/>
      <c r="DF364" s="32"/>
      <c r="DG364" s="32"/>
      <c r="DH364" s="32"/>
      <c r="DI364" s="32"/>
      <c r="DJ364" s="32"/>
      <c r="DK364" s="32"/>
      <c r="DL364" s="32"/>
      <c r="DM364" s="32"/>
      <c r="DN364" s="32"/>
      <c r="DO364" s="32"/>
      <c r="DP364" s="32"/>
      <c r="DQ364" s="32"/>
      <c r="DR364" s="32"/>
      <c r="DS364" s="32"/>
      <c r="DT364" s="32"/>
      <c r="DU364" s="32"/>
      <c r="DV364" s="32"/>
      <c r="DW364" s="32"/>
      <c r="DX364" s="32"/>
      <c r="DY364" s="32"/>
      <c r="DZ364" s="32"/>
      <c r="EA364" s="32"/>
      <c r="EB364" s="32"/>
      <c r="EC364" s="32"/>
    </row>
    <row r="365" spans="1:133" s="13" customFormat="1" ht="110.25" x14ac:dyDescent="0.25">
      <c r="A365" s="130" t="s">
        <v>533</v>
      </c>
      <c r="B365" s="133" t="s">
        <v>704</v>
      </c>
      <c r="C365" s="118" t="s">
        <v>736</v>
      </c>
      <c r="D365" s="110" t="s">
        <v>737</v>
      </c>
      <c r="E365" s="125">
        <v>53</v>
      </c>
      <c r="F365" s="126">
        <v>240</v>
      </c>
      <c r="G365" s="123" t="s">
        <v>742</v>
      </c>
      <c r="H365" s="123" t="s">
        <v>1495</v>
      </c>
      <c r="I365" s="103" t="s">
        <v>743</v>
      </c>
      <c r="J365" s="103" t="s">
        <v>1683</v>
      </c>
      <c r="K365" s="56">
        <v>34</v>
      </c>
      <c r="L365" s="86">
        <v>40</v>
      </c>
      <c r="M365" s="103" t="s">
        <v>709</v>
      </c>
      <c r="N365" s="56" t="s">
        <v>539</v>
      </c>
      <c r="O365" s="54" t="s">
        <v>710</v>
      </c>
      <c r="P365" s="58" t="s">
        <v>39</v>
      </c>
      <c r="Q365" s="171" t="s">
        <v>1680</v>
      </c>
      <c r="R365" s="182">
        <v>0</v>
      </c>
      <c r="S365" s="180">
        <v>5</v>
      </c>
      <c r="T365" s="180">
        <v>15</v>
      </c>
      <c r="U365" s="188">
        <v>20</v>
      </c>
      <c r="V365" s="59"/>
      <c r="W365" s="60"/>
      <c r="X365" s="60"/>
      <c r="Y365" s="60"/>
      <c r="Z365" s="60"/>
      <c r="AA365" s="61"/>
      <c r="AB365" s="62">
        <v>4000000000</v>
      </c>
      <c r="AC365" s="60"/>
      <c r="AD365" s="60"/>
      <c r="AE365" s="60"/>
      <c r="AF365" s="60"/>
      <c r="AG365" s="60"/>
      <c r="AH365" s="63"/>
      <c r="AI365" s="62">
        <v>9355000000</v>
      </c>
      <c r="AJ365" s="60"/>
      <c r="AK365" s="60"/>
      <c r="AL365" s="60"/>
      <c r="AM365" s="60"/>
      <c r="AN365" s="60"/>
      <c r="AO365" s="63"/>
      <c r="AP365" s="62">
        <v>1855000000</v>
      </c>
      <c r="AQ365" s="60"/>
      <c r="AR365" s="60"/>
      <c r="AS365" s="60"/>
      <c r="AT365" s="60"/>
      <c r="AU365" s="60"/>
      <c r="AV365" s="64"/>
      <c r="AW365" s="55">
        <f t="shared" si="28"/>
        <v>0</v>
      </c>
      <c r="AX365" s="55">
        <f t="shared" si="29"/>
        <v>4000000000</v>
      </c>
      <c r="AY365" s="55">
        <f t="shared" si="30"/>
        <v>9355000000</v>
      </c>
      <c r="AZ365" s="55">
        <f t="shared" si="31"/>
        <v>1855000000</v>
      </c>
      <c r="BA365" s="55">
        <f t="shared" si="32"/>
        <v>15210000000</v>
      </c>
      <c r="BB365" s="32"/>
      <c r="BC365" s="32"/>
      <c r="BD365" s="32"/>
      <c r="BE365" s="32"/>
      <c r="BF365" s="32"/>
      <c r="BG365" s="32"/>
      <c r="BH365" s="32"/>
      <c r="BI365" s="32"/>
      <c r="BJ365" s="32"/>
      <c r="BK365" s="32"/>
      <c r="BL365" s="32"/>
      <c r="BM365" s="32"/>
      <c r="BN365" s="32"/>
      <c r="BO365" s="32"/>
      <c r="BP365" s="32"/>
      <c r="BQ365" s="32"/>
      <c r="BR365" s="32"/>
      <c r="BS365" s="32"/>
      <c r="BT365" s="32"/>
      <c r="BU365" s="32"/>
      <c r="BV365" s="32"/>
      <c r="BW365" s="32"/>
      <c r="BX365" s="32"/>
      <c r="BY365" s="32"/>
      <c r="BZ365" s="32"/>
      <c r="CA365" s="32"/>
      <c r="CB365" s="32"/>
      <c r="CC365" s="32"/>
      <c r="CD365" s="32"/>
      <c r="CE365" s="32"/>
      <c r="CF365" s="32"/>
      <c r="CG365" s="32"/>
      <c r="CH365" s="32"/>
      <c r="CI365" s="32"/>
      <c r="CJ365" s="32"/>
      <c r="CK365" s="32"/>
      <c r="CL365" s="32"/>
      <c r="CM365" s="32"/>
      <c r="CN365" s="32"/>
      <c r="CO365" s="32"/>
      <c r="CP365" s="32"/>
      <c r="CQ365" s="32"/>
      <c r="CR365" s="32"/>
      <c r="CS365" s="32"/>
      <c r="CT365" s="32"/>
      <c r="CU365" s="32"/>
      <c r="CV365" s="32"/>
      <c r="CW365" s="32"/>
      <c r="CX365" s="32"/>
      <c r="CY365" s="32"/>
      <c r="CZ365" s="32"/>
      <c r="DA365" s="32"/>
      <c r="DB365" s="32"/>
      <c r="DC365" s="32"/>
      <c r="DD365" s="32"/>
      <c r="DE365" s="32"/>
      <c r="DF365" s="32"/>
      <c r="DG365" s="32"/>
      <c r="DH365" s="32"/>
      <c r="DI365" s="32"/>
      <c r="DJ365" s="32"/>
      <c r="DK365" s="32"/>
      <c r="DL365" s="32"/>
      <c r="DM365" s="32"/>
      <c r="DN365" s="32"/>
      <c r="DO365" s="32"/>
      <c r="DP365" s="32"/>
      <c r="DQ365" s="32"/>
      <c r="DR365" s="32"/>
      <c r="DS365" s="32"/>
      <c r="DT365" s="32"/>
      <c r="DU365" s="32"/>
      <c r="DV365" s="32"/>
      <c r="DW365" s="32"/>
      <c r="DX365" s="32"/>
      <c r="DY365" s="32"/>
      <c r="DZ365" s="32"/>
      <c r="EA365" s="32"/>
      <c r="EB365" s="32"/>
      <c r="EC365" s="32"/>
    </row>
    <row r="366" spans="1:133" s="13" customFormat="1" ht="110.25" x14ac:dyDescent="0.25">
      <c r="A366" s="130" t="s">
        <v>533</v>
      </c>
      <c r="B366" s="133" t="s">
        <v>704</v>
      </c>
      <c r="C366" s="118" t="s">
        <v>736</v>
      </c>
      <c r="D366" s="110" t="s">
        <v>737</v>
      </c>
      <c r="E366" s="125">
        <v>53</v>
      </c>
      <c r="F366" s="126">
        <v>240</v>
      </c>
      <c r="G366" s="123" t="s">
        <v>742</v>
      </c>
      <c r="H366" s="123" t="s">
        <v>1496</v>
      </c>
      <c r="I366" s="103" t="s">
        <v>744</v>
      </c>
      <c r="J366" s="103" t="s">
        <v>1683</v>
      </c>
      <c r="K366" s="56">
        <v>0</v>
      </c>
      <c r="L366" s="86">
        <v>2</v>
      </c>
      <c r="M366" s="103" t="s">
        <v>709</v>
      </c>
      <c r="N366" s="56" t="s">
        <v>539</v>
      </c>
      <c r="O366" s="54" t="s">
        <v>710</v>
      </c>
      <c r="P366" s="58" t="s">
        <v>39</v>
      </c>
      <c r="Q366" s="171" t="s">
        <v>1680</v>
      </c>
      <c r="R366" s="182">
        <v>1</v>
      </c>
      <c r="S366" s="178">
        <v>1</v>
      </c>
      <c r="T366" s="178">
        <v>0</v>
      </c>
      <c r="U366" s="183">
        <v>0</v>
      </c>
      <c r="V366" s="59">
        <v>1355000000</v>
      </c>
      <c r="W366" s="60"/>
      <c r="X366" s="60"/>
      <c r="Y366" s="60"/>
      <c r="Z366" s="60"/>
      <c r="AA366" s="61"/>
      <c r="AB366" s="62">
        <v>4000000000</v>
      </c>
      <c r="AC366" s="60"/>
      <c r="AD366" s="60"/>
      <c r="AE366" s="60"/>
      <c r="AF366" s="60"/>
      <c r="AG366" s="60"/>
      <c r="AH366" s="63"/>
      <c r="AI366" s="62"/>
      <c r="AJ366" s="60"/>
      <c r="AK366" s="60"/>
      <c r="AL366" s="60"/>
      <c r="AM366" s="60"/>
      <c r="AN366" s="60"/>
      <c r="AO366" s="63"/>
      <c r="AP366" s="62"/>
      <c r="AQ366" s="60"/>
      <c r="AR366" s="60"/>
      <c r="AS366" s="60"/>
      <c r="AT366" s="60"/>
      <c r="AU366" s="60"/>
      <c r="AV366" s="64"/>
      <c r="AW366" s="55">
        <f t="shared" si="28"/>
        <v>1355000000</v>
      </c>
      <c r="AX366" s="55">
        <f t="shared" si="29"/>
        <v>4000000000</v>
      </c>
      <c r="AY366" s="55">
        <f t="shared" si="30"/>
        <v>0</v>
      </c>
      <c r="AZ366" s="55">
        <f t="shared" si="31"/>
        <v>0</v>
      </c>
      <c r="BA366" s="55">
        <f t="shared" si="32"/>
        <v>5355000000</v>
      </c>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row>
    <row r="367" spans="1:133" s="13" customFormat="1" ht="110.25" x14ac:dyDescent="0.25">
      <c r="A367" s="130" t="s">
        <v>533</v>
      </c>
      <c r="B367" s="132" t="s">
        <v>745</v>
      </c>
      <c r="C367" s="118" t="s">
        <v>746</v>
      </c>
      <c r="D367" s="127" t="s">
        <v>747</v>
      </c>
      <c r="E367" s="56">
        <v>76</v>
      </c>
      <c r="F367" s="56">
        <v>76</v>
      </c>
      <c r="G367" s="104" t="s">
        <v>748</v>
      </c>
      <c r="H367" s="104" t="s">
        <v>1497</v>
      </c>
      <c r="I367" s="103" t="s">
        <v>749</v>
      </c>
      <c r="J367" s="103" t="s">
        <v>1682</v>
      </c>
      <c r="K367" s="178">
        <v>0</v>
      </c>
      <c r="L367" s="179">
        <v>100</v>
      </c>
      <c r="M367" s="56" t="s">
        <v>228</v>
      </c>
      <c r="N367" s="56" t="s">
        <v>369</v>
      </c>
      <c r="O367" s="54" t="s">
        <v>193</v>
      </c>
      <c r="P367" s="58" t="s">
        <v>39</v>
      </c>
      <c r="Q367" s="171" t="s">
        <v>1679</v>
      </c>
      <c r="R367" s="182">
        <v>0</v>
      </c>
      <c r="S367" s="178">
        <v>30</v>
      </c>
      <c r="T367" s="178">
        <v>50</v>
      </c>
      <c r="U367" s="183">
        <v>100</v>
      </c>
      <c r="V367" s="59"/>
      <c r="W367" s="60"/>
      <c r="X367" s="60"/>
      <c r="Y367" s="60"/>
      <c r="Z367" s="60"/>
      <c r="AA367" s="61"/>
      <c r="AB367" s="62">
        <v>100000000</v>
      </c>
      <c r="AC367" s="60"/>
      <c r="AD367" s="60"/>
      <c r="AE367" s="60"/>
      <c r="AF367" s="60"/>
      <c r="AG367" s="60"/>
      <c r="AH367" s="63"/>
      <c r="AI367" s="62">
        <v>103000000</v>
      </c>
      <c r="AJ367" s="60"/>
      <c r="AK367" s="60"/>
      <c r="AL367" s="60"/>
      <c r="AM367" s="60"/>
      <c r="AN367" s="60"/>
      <c r="AO367" s="63"/>
      <c r="AP367" s="62">
        <v>106000000</v>
      </c>
      <c r="AQ367" s="60"/>
      <c r="AR367" s="60"/>
      <c r="AS367" s="60"/>
      <c r="AT367" s="60"/>
      <c r="AU367" s="60"/>
      <c r="AV367" s="64"/>
      <c r="AW367" s="55">
        <f t="shared" si="28"/>
        <v>0</v>
      </c>
      <c r="AX367" s="55">
        <f t="shared" si="29"/>
        <v>100000000</v>
      </c>
      <c r="AY367" s="55">
        <f t="shared" si="30"/>
        <v>103000000</v>
      </c>
      <c r="AZ367" s="55">
        <f t="shared" si="31"/>
        <v>106000000</v>
      </c>
      <c r="BA367" s="55">
        <f t="shared" si="32"/>
        <v>309000000</v>
      </c>
      <c r="BB367" s="32"/>
      <c r="BC367" s="32"/>
      <c r="BD367" s="32"/>
      <c r="BE367" s="32"/>
      <c r="BF367" s="32"/>
      <c r="BG367" s="32"/>
      <c r="BH367" s="32"/>
      <c r="BI367" s="32"/>
      <c r="BJ367" s="32"/>
      <c r="BK367" s="32"/>
      <c r="BL367" s="32"/>
      <c r="BM367" s="32"/>
      <c r="BN367" s="32"/>
      <c r="BO367" s="32"/>
      <c r="BP367" s="32"/>
      <c r="BQ367" s="32"/>
      <c r="BR367" s="32"/>
      <c r="BS367" s="32"/>
      <c r="BT367" s="32"/>
      <c r="BU367" s="32"/>
      <c r="BV367" s="32"/>
      <c r="BW367" s="32"/>
      <c r="BX367" s="32"/>
      <c r="BY367" s="32"/>
      <c r="BZ367" s="32"/>
      <c r="CA367" s="32"/>
      <c r="CB367" s="32"/>
      <c r="CC367" s="32"/>
      <c r="CD367" s="32"/>
      <c r="CE367" s="32"/>
      <c r="CF367" s="32"/>
      <c r="CG367" s="32"/>
      <c r="CH367" s="32"/>
      <c r="CI367" s="32"/>
      <c r="CJ367" s="32"/>
      <c r="CK367" s="32"/>
      <c r="CL367" s="32"/>
      <c r="CM367" s="32"/>
      <c r="CN367" s="32"/>
      <c r="CO367" s="32"/>
      <c r="CP367" s="32"/>
      <c r="CQ367" s="32"/>
      <c r="CR367" s="32"/>
      <c r="CS367" s="32"/>
      <c r="CT367" s="32"/>
      <c r="CU367" s="32"/>
      <c r="CV367" s="32"/>
      <c r="CW367" s="32"/>
      <c r="CX367" s="32"/>
      <c r="CY367" s="32"/>
      <c r="CZ367" s="32"/>
      <c r="DA367" s="32"/>
      <c r="DB367" s="32"/>
      <c r="DC367" s="32"/>
      <c r="DD367" s="32"/>
      <c r="DE367" s="32"/>
      <c r="DF367" s="32"/>
      <c r="DG367" s="32"/>
      <c r="DH367" s="32"/>
      <c r="DI367" s="32"/>
      <c r="DJ367" s="32"/>
      <c r="DK367" s="32"/>
      <c r="DL367" s="32"/>
      <c r="DM367" s="32"/>
      <c r="DN367" s="32"/>
      <c r="DO367" s="32"/>
      <c r="DP367" s="32"/>
      <c r="DQ367" s="32"/>
      <c r="DR367" s="32"/>
      <c r="DS367" s="32"/>
      <c r="DT367" s="32"/>
      <c r="DU367" s="32"/>
      <c r="DV367" s="32"/>
      <c r="DW367" s="32"/>
      <c r="DX367" s="32"/>
      <c r="DY367" s="32"/>
      <c r="DZ367" s="32"/>
      <c r="EA367" s="32"/>
      <c r="EB367" s="32"/>
      <c r="EC367" s="32"/>
    </row>
    <row r="368" spans="1:133" s="13" customFormat="1" ht="141.75" x14ac:dyDescent="0.25">
      <c r="A368" s="130" t="s">
        <v>533</v>
      </c>
      <c r="B368" s="132" t="s">
        <v>745</v>
      </c>
      <c r="C368" s="118" t="s">
        <v>746</v>
      </c>
      <c r="D368" s="127" t="s">
        <v>747</v>
      </c>
      <c r="E368" s="56">
        <v>76</v>
      </c>
      <c r="F368" s="56">
        <v>76</v>
      </c>
      <c r="G368" s="122" t="s">
        <v>750</v>
      </c>
      <c r="H368" s="122" t="s">
        <v>1498</v>
      </c>
      <c r="I368" s="103" t="s">
        <v>751</v>
      </c>
      <c r="J368" s="103" t="s">
        <v>1682</v>
      </c>
      <c r="K368" s="178">
        <v>65</v>
      </c>
      <c r="L368" s="179">
        <v>70</v>
      </c>
      <c r="M368" s="56" t="s">
        <v>228</v>
      </c>
      <c r="N368" s="56" t="s">
        <v>369</v>
      </c>
      <c r="O368" s="54" t="s">
        <v>193</v>
      </c>
      <c r="P368" s="58" t="s">
        <v>1677</v>
      </c>
      <c r="Q368" s="171" t="s">
        <v>1679</v>
      </c>
      <c r="R368" s="182">
        <v>65</v>
      </c>
      <c r="S368" s="178">
        <v>66</v>
      </c>
      <c r="T368" s="178">
        <v>68</v>
      </c>
      <c r="U368" s="183">
        <v>70</v>
      </c>
      <c r="V368" s="59">
        <v>5000000000</v>
      </c>
      <c r="W368" s="60"/>
      <c r="X368" s="60"/>
      <c r="Y368" s="60"/>
      <c r="Z368" s="60"/>
      <c r="AA368" s="61"/>
      <c r="AB368" s="62">
        <v>5250000000</v>
      </c>
      <c r="AC368" s="60"/>
      <c r="AD368" s="60"/>
      <c r="AE368" s="60"/>
      <c r="AF368" s="60"/>
      <c r="AG368" s="60"/>
      <c r="AH368" s="63"/>
      <c r="AI368" s="62">
        <v>5500000000</v>
      </c>
      <c r="AJ368" s="60"/>
      <c r="AK368" s="60"/>
      <c r="AL368" s="60"/>
      <c r="AM368" s="60"/>
      <c r="AN368" s="60"/>
      <c r="AO368" s="63"/>
      <c r="AP368" s="62">
        <f>10400000000/2</f>
        <v>5200000000</v>
      </c>
      <c r="AQ368" s="60"/>
      <c r="AR368" s="60"/>
      <c r="AS368" s="60"/>
      <c r="AT368" s="60"/>
      <c r="AU368" s="60"/>
      <c r="AV368" s="64"/>
      <c r="AW368" s="55">
        <f t="shared" si="28"/>
        <v>5000000000</v>
      </c>
      <c r="AX368" s="55">
        <f t="shared" si="29"/>
        <v>5250000000</v>
      </c>
      <c r="AY368" s="55">
        <f t="shared" si="30"/>
        <v>5500000000</v>
      </c>
      <c r="AZ368" s="55">
        <f t="shared" si="31"/>
        <v>5200000000</v>
      </c>
      <c r="BA368" s="55">
        <f t="shared" si="32"/>
        <v>20950000000</v>
      </c>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c r="BY368" s="32"/>
      <c r="BZ368" s="32"/>
      <c r="CA368" s="32"/>
      <c r="CB368" s="32"/>
      <c r="CC368" s="32"/>
      <c r="CD368" s="32"/>
      <c r="CE368" s="32"/>
      <c r="CF368" s="32"/>
      <c r="CG368" s="32"/>
      <c r="CH368" s="32"/>
      <c r="CI368" s="32"/>
      <c r="CJ368" s="32"/>
      <c r="CK368" s="32"/>
      <c r="CL368" s="32"/>
      <c r="CM368" s="32"/>
      <c r="CN368" s="32"/>
      <c r="CO368" s="32"/>
      <c r="CP368" s="32"/>
      <c r="CQ368" s="32"/>
      <c r="CR368" s="32"/>
      <c r="CS368" s="32"/>
      <c r="CT368" s="32"/>
      <c r="CU368" s="32"/>
      <c r="CV368" s="32"/>
      <c r="CW368" s="32"/>
      <c r="CX368" s="32"/>
      <c r="CY368" s="32"/>
      <c r="CZ368" s="32"/>
      <c r="DA368" s="32"/>
      <c r="DB368" s="32"/>
      <c r="DC368" s="32"/>
      <c r="DD368" s="32"/>
      <c r="DE368" s="32"/>
      <c r="DF368" s="32"/>
      <c r="DG368" s="32"/>
      <c r="DH368" s="32"/>
      <c r="DI368" s="32"/>
      <c r="DJ368" s="32"/>
      <c r="DK368" s="32"/>
      <c r="DL368" s="32"/>
      <c r="DM368" s="32"/>
      <c r="DN368" s="32"/>
      <c r="DO368" s="32"/>
      <c r="DP368" s="32"/>
      <c r="DQ368" s="32"/>
      <c r="DR368" s="32"/>
      <c r="DS368" s="32"/>
      <c r="DT368" s="32"/>
      <c r="DU368" s="32"/>
      <c r="DV368" s="32"/>
      <c r="DW368" s="32"/>
      <c r="DX368" s="32"/>
      <c r="DY368" s="32"/>
      <c r="DZ368" s="32"/>
      <c r="EA368" s="32"/>
      <c r="EB368" s="32"/>
      <c r="EC368" s="32"/>
    </row>
    <row r="369" spans="1:133" s="13" customFormat="1" ht="63" x14ac:dyDescent="0.25">
      <c r="A369" s="130" t="s">
        <v>533</v>
      </c>
      <c r="B369" s="132" t="s">
        <v>745</v>
      </c>
      <c r="C369" s="118" t="s">
        <v>746</v>
      </c>
      <c r="D369" s="127" t="s">
        <v>747</v>
      </c>
      <c r="E369" s="56">
        <v>76</v>
      </c>
      <c r="F369" s="56">
        <v>76</v>
      </c>
      <c r="G369" s="122" t="s">
        <v>750</v>
      </c>
      <c r="H369" s="122" t="s">
        <v>1499</v>
      </c>
      <c r="I369" s="103" t="s">
        <v>752</v>
      </c>
      <c r="J369" s="103" t="s">
        <v>1682</v>
      </c>
      <c r="K369" s="178">
        <v>18</v>
      </c>
      <c r="L369" s="179">
        <v>20</v>
      </c>
      <c r="M369" s="56" t="s">
        <v>228</v>
      </c>
      <c r="N369" s="56" t="s">
        <v>369</v>
      </c>
      <c r="O369" s="54" t="s">
        <v>193</v>
      </c>
      <c r="P369" s="58" t="s">
        <v>1677</v>
      </c>
      <c r="Q369" s="171" t="s">
        <v>1679</v>
      </c>
      <c r="R369" s="182">
        <v>18</v>
      </c>
      <c r="S369" s="178">
        <v>18</v>
      </c>
      <c r="T369" s="178">
        <v>19</v>
      </c>
      <c r="U369" s="183">
        <v>20</v>
      </c>
      <c r="V369" s="59">
        <v>6000000000</v>
      </c>
      <c r="W369" s="60"/>
      <c r="X369" s="60"/>
      <c r="Y369" s="60"/>
      <c r="Z369" s="60"/>
      <c r="AA369" s="61"/>
      <c r="AB369" s="62">
        <v>5250000000</v>
      </c>
      <c r="AC369" s="60"/>
      <c r="AD369" s="60"/>
      <c r="AE369" s="60"/>
      <c r="AF369" s="60"/>
      <c r="AG369" s="60"/>
      <c r="AH369" s="63"/>
      <c r="AI369" s="62">
        <v>5500000000</v>
      </c>
      <c r="AJ369" s="60"/>
      <c r="AK369" s="60"/>
      <c r="AL369" s="60"/>
      <c r="AM369" s="60"/>
      <c r="AN369" s="60"/>
      <c r="AO369" s="63"/>
      <c r="AP369" s="62">
        <f>10400000000/2</f>
        <v>5200000000</v>
      </c>
      <c r="AQ369" s="60"/>
      <c r="AR369" s="60"/>
      <c r="AS369" s="60"/>
      <c r="AT369" s="60"/>
      <c r="AU369" s="60"/>
      <c r="AV369" s="64"/>
      <c r="AW369" s="55">
        <f t="shared" si="28"/>
        <v>6000000000</v>
      </c>
      <c r="AX369" s="55">
        <f t="shared" si="29"/>
        <v>5250000000</v>
      </c>
      <c r="AY369" s="55">
        <f t="shared" si="30"/>
        <v>5500000000</v>
      </c>
      <c r="AZ369" s="55">
        <f t="shared" si="31"/>
        <v>5200000000</v>
      </c>
      <c r="BA369" s="55">
        <f t="shared" si="32"/>
        <v>21950000000</v>
      </c>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c r="BY369" s="32"/>
      <c r="BZ369" s="32"/>
      <c r="CA369" s="32"/>
      <c r="CB369" s="32"/>
      <c r="CC369" s="32"/>
      <c r="CD369" s="32"/>
      <c r="CE369" s="32"/>
      <c r="CF369" s="32"/>
      <c r="CG369" s="32"/>
      <c r="CH369" s="32"/>
      <c r="CI369" s="32"/>
      <c r="CJ369" s="32"/>
      <c r="CK369" s="32"/>
      <c r="CL369" s="32"/>
      <c r="CM369" s="32"/>
      <c r="CN369" s="32"/>
      <c r="CO369" s="32"/>
      <c r="CP369" s="32"/>
      <c r="CQ369" s="32"/>
      <c r="CR369" s="32"/>
      <c r="CS369" s="32"/>
      <c r="CT369" s="32"/>
      <c r="CU369" s="32"/>
      <c r="CV369" s="32"/>
      <c r="CW369" s="32"/>
      <c r="CX369" s="32"/>
      <c r="CY369" s="32"/>
      <c r="CZ369" s="32"/>
      <c r="DA369" s="32"/>
      <c r="DB369" s="32"/>
      <c r="DC369" s="32"/>
      <c r="DD369" s="32"/>
      <c r="DE369" s="32"/>
      <c r="DF369" s="32"/>
      <c r="DG369" s="32"/>
      <c r="DH369" s="32"/>
      <c r="DI369" s="32"/>
      <c r="DJ369" s="32"/>
      <c r="DK369" s="32"/>
      <c r="DL369" s="32"/>
      <c r="DM369" s="32"/>
      <c r="DN369" s="32"/>
      <c r="DO369" s="32"/>
      <c r="DP369" s="32"/>
      <c r="DQ369" s="32"/>
      <c r="DR369" s="32"/>
      <c r="DS369" s="32"/>
      <c r="DT369" s="32"/>
      <c r="DU369" s="32"/>
      <c r="DV369" s="32"/>
      <c r="DW369" s="32"/>
      <c r="DX369" s="32"/>
      <c r="DY369" s="32"/>
      <c r="DZ369" s="32"/>
      <c r="EA369" s="32"/>
      <c r="EB369" s="32"/>
      <c r="EC369" s="32"/>
    </row>
    <row r="370" spans="1:133" s="13" customFormat="1" ht="63" x14ac:dyDescent="0.25">
      <c r="A370" s="130" t="s">
        <v>533</v>
      </c>
      <c r="B370" s="132" t="s">
        <v>745</v>
      </c>
      <c r="C370" s="118" t="s">
        <v>746</v>
      </c>
      <c r="D370" s="127" t="s">
        <v>747</v>
      </c>
      <c r="E370" s="56">
        <v>76</v>
      </c>
      <c r="F370" s="56">
        <v>76</v>
      </c>
      <c r="G370" s="104" t="s">
        <v>753</v>
      </c>
      <c r="H370" s="104" t="s">
        <v>1500</v>
      </c>
      <c r="I370" s="103" t="s">
        <v>754</v>
      </c>
      <c r="J370" s="103" t="s">
        <v>1682</v>
      </c>
      <c r="K370" s="178">
        <v>100</v>
      </c>
      <c r="L370" s="179">
        <v>100</v>
      </c>
      <c r="M370" s="56" t="s">
        <v>228</v>
      </c>
      <c r="N370" s="56" t="s">
        <v>369</v>
      </c>
      <c r="O370" s="54" t="s">
        <v>193</v>
      </c>
      <c r="P370" s="58" t="s">
        <v>42</v>
      </c>
      <c r="Q370" s="54" t="s">
        <v>1679</v>
      </c>
      <c r="R370" s="182">
        <v>100</v>
      </c>
      <c r="S370" s="178">
        <v>100</v>
      </c>
      <c r="T370" s="178">
        <v>100</v>
      </c>
      <c r="U370" s="183">
        <v>100</v>
      </c>
      <c r="V370" s="59">
        <v>14196513244</v>
      </c>
      <c r="W370" s="60"/>
      <c r="X370" s="60"/>
      <c r="Y370" s="60"/>
      <c r="Z370" s="60"/>
      <c r="AA370" s="61"/>
      <c r="AB370" s="62">
        <v>226777000000</v>
      </c>
      <c r="AC370" s="60"/>
      <c r="AD370" s="60"/>
      <c r="AE370" s="60"/>
      <c r="AF370" s="60"/>
      <c r="AG370" s="60"/>
      <c r="AH370" s="63"/>
      <c r="AI370" s="62">
        <v>300608000000</v>
      </c>
      <c r="AJ370" s="60"/>
      <c r="AK370" s="60"/>
      <c r="AL370" s="60"/>
      <c r="AM370" s="60"/>
      <c r="AN370" s="60"/>
      <c r="AO370" s="63"/>
      <c r="AP370" s="62">
        <v>337716000000</v>
      </c>
      <c r="AQ370" s="60"/>
      <c r="AR370" s="60"/>
      <c r="AS370" s="60"/>
      <c r="AT370" s="60"/>
      <c r="AU370" s="60"/>
      <c r="AV370" s="64"/>
      <c r="AW370" s="55">
        <f t="shared" si="28"/>
        <v>14196513244</v>
      </c>
      <c r="AX370" s="55">
        <f t="shared" si="29"/>
        <v>226777000000</v>
      </c>
      <c r="AY370" s="55">
        <f t="shared" si="30"/>
        <v>300608000000</v>
      </c>
      <c r="AZ370" s="55">
        <f t="shared" si="31"/>
        <v>337716000000</v>
      </c>
      <c r="BA370" s="55">
        <f t="shared" si="32"/>
        <v>879297513244</v>
      </c>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c r="BY370" s="32"/>
      <c r="BZ370" s="32"/>
      <c r="CA370" s="32"/>
      <c r="CB370" s="32"/>
      <c r="CC370" s="32"/>
      <c r="CD370" s="32"/>
      <c r="CE370" s="32"/>
      <c r="CF370" s="32"/>
      <c r="CG370" s="32"/>
      <c r="CH370" s="32"/>
      <c r="CI370" s="32"/>
      <c r="CJ370" s="32"/>
      <c r="CK370" s="32"/>
      <c r="CL370" s="32"/>
      <c r="CM370" s="32"/>
      <c r="CN370" s="32"/>
      <c r="CO370" s="32"/>
      <c r="CP370" s="32"/>
      <c r="CQ370" s="32"/>
      <c r="CR370" s="32"/>
      <c r="CS370" s="32"/>
      <c r="CT370" s="32"/>
      <c r="CU370" s="32"/>
      <c r="CV370" s="32"/>
      <c r="CW370" s="32"/>
      <c r="CX370" s="32"/>
      <c r="CY370" s="32"/>
      <c r="CZ370" s="32"/>
      <c r="DA370" s="32"/>
      <c r="DB370" s="32"/>
      <c r="DC370" s="32"/>
      <c r="DD370" s="32"/>
      <c r="DE370" s="32"/>
      <c r="DF370" s="32"/>
      <c r="DG370" s="32"/>
      <c r="DH370" s="32"/>
      <c r="DI370" s="32"/>
      <c r="DJ370" s="32"/>
      <c r="DK370" s="32"/>
      <c r="DL370" s="32"/>
      <c r="DM370" s="32"/>
      <c r="DN370" s="32"/>
      <c r="DO370" s="32"/>
      <c r="DP370" s="32"/>
      <c r="DQ370" s="32"/>
      <c r="DR370" s="32"/>
      <c r="DS370" s="32"/>
      <c r="DT370" s="32"/>
      <c r="DU370" s="32"/>
      <c r="DV370" s="32"/>
      <c r="DW370" s="32"/>
      <c r="DX370" s="32"/>
      <c r="DY370" s="32"/>
      <c r="DZ370" s="32"/>
      <c r="EA370" s="32"/>
      <c r="EB370" s="32"/>
      <c r="EC370" s="32"/>
    </row>
    <row r="371" spans="1:133" s="13" customFormat="1" ht="94.5" x14ac:dyDescent="0.25">
      <c r="A371" s="130" t="s">
        <v>533</v>
      </c>
      <c r="B371" s="132" t="s">
        <v>745</v>
      </c>
      <c r="C371" s="118" t="s">
        <v>746</v>
      </c>
      <c r="D371" s="127" t="s">
        <v>747</v>
      </c>
      <c r="E371" s="56">
        <v>76</v>
      </c>
      <c r="F371" s="56">
        <v>76</v>
      </c>
      <c r="G371" s="123" t="s">
        <v>755</v>
      </c>
      <c r="H371" s="123" t="s">
        <v>1501</v>
      </c>
      <c r="I371" s="103" t="s">
        <v>756</v>
      </c>
      <c r="J371" s="103" t="s">
        <v>1682</v>
      </c>
      <c r="K371" s="178">
        <v>0</v>
      </c>
      <c r="L371" s="179">
        <v>100</v>
      </c>
      <c r="M371" s="56" t="s">
        <v>228</v>
      </c>
      <c r="N371" s="56" t="s">
        <v>369</v>
      </c>
      <c r="O371" s="54" t="s">
        <v>193</v>
      </c>
      <c r="P371" s="58" t="s">
        <v>39</v>
      </c>
      <c r="Q371" s="171" t="s">
        <v>1680</v>
      </c>
      <c r="R371" s="182">
        <v>25</v>
      </c>
      <c r="S371" s="178">
        <v>25</v>
      </c>
      <c r="T371" s="178">
        <v>25</v>
      </c>
      <c r="U371" s="183">
        <v>25</v>
      </c>
      <c r="V371" s="59">
        <f>1830000000</f>
        <v>1830000000</v>
      </c>
      <c r="W371" s="60"/>
      <c r="X371" s="60"/>
      <c r="Y371" s="60"/>
      <c r="Z371" s="60"/>
      <c r="AA371" s="61"/>
      <c r="AB371" s="62">
        <f>1880000000/2</f>
        <v>940000000</v>
      </c>
      <c r="AC371" s="60"/>
      <c r="AD371" s="60"/>
      <c r="AE371" s="60"/>
      <c r="AF371" s="60"/>
      <c r="AG371" s="60"/>
      <c r="AH371" s="63"/>
      <c r="AI371" s="62">
        <f>1880000000/2</f>
        <v>940000000</v>
      </c>
      <c r="AJ371" s="60"/>
      <c r="AK371" s="60"/>
      <c r="AL371" s="60"/>
      <c r="AM371" s="60"/>
      <c r="AN371" s="60"/>
      <c r="AO371" s="63"/>
      <c r="AP371" s="62">
        <f>1880000000/2</f>
        <v>940000000</v>
      </c>
      <c r="AQ371" s="60"/>
      <c r="AR371" s="60"/>
      <c r="AS371" s="60"/>
      <c r="AT371" s="60"/>
      <c r="AU371" s="60"/>
      <c r="AV371" s="64"/>
      <c r="AW371" s="55">
        <f t="shared" si="28"/>
        <v>1830000000</v>
      </c>
      <c r="AX371" s="55">
        <f t="shared" si="29"/>
        <v>940000000</v>
      </c>
      <c r="AY371" s="55">
        <f t="shared" si="30"/>
        <v>940000000</v>
      </c>
      <c r="AZ371" s="55">
        <f t="shared" si="31"/>
        <v>940000000</v>
      </c>
      <c r="BA371" s="55">
        <f t="shared" si="32"/>
        <v>4650000000</v>
      </c>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c r="CC371" s="32"/>
      <c r="CD371" s="32"/>
      <c r="CE371" s="32"/>
      <c r="CF371" s="32"/>
      <c r="CG371" s="32"/>
      <c r="CH371" s="32"/>
      <c r="CI371" s="32"/>
      <c r="CJ371" s="32"/>
      <c r="CK371" s="32"/>
      <c r="CL371" s="32"/>
      <c r="CM371" s="32"/>
      <c r="CN371" s="32"/>
      <c r="CO371" s="32"/>
      <c r="CP371" s="32"/>
      <c r="CQ371" s="32"/>
      <c r="CR371" s="32"/>
      <c r="CS371" s="32"/>
      <c r="CT371" s="32"/>
      <c r="CU371" s="32"/>
      <c r="CV371" s="32"/>
      <c r="CW371" s="32"/>
      <c r="CX371" s="32"/>
      <c r="CY371" s="32"/>
      <c r="CZ371" s="32"/>
      <c r="DA371" s="32"/>
      <c r="DB371" s="32"/>
      <c r="DC371" s="32"/>
      <c r="DD371" s="32"/>
      <c r="DE371" s="32"/>
      <c r="DF371" s="32"/>
      <c r="DG371" s="32"/>
      <c r="DH371" s="32"/>
      <c r="DI371" s="32"/>
      <c r="DJ371" s="32"/>
      <c r="DK371" s="32"/>
      <c r="DL371" s="32"/>
      <c r="DM371" s="32"/>
      <c r="DN371" s="32"/>
      <c r="DO371" s="32"/>
      <c r="DP371" s="32"/>
      <c r="DQ371" s="32"/>
      <c r="DR371" s="32"/>
      <c r="DS371" s="32"/>
      <c r="DT371" s="32"/>
      <c r="DU371" s="32"/>
      <c r="DV371" s="32"/>
      <c r="DW371" s="32"/>
      <c r="DX371" s="32"/>
      <c r="DY371" s="32"/>
      <c r="DZ371" s="32"/>
      <c r="EA371" s="32"/>
      <c r="EB371" s="32"/>
      <c r="EC371" s="32"/>
    </row>
    <row r="372" spans="1:133" s="13" customFormat="1" ht="157.5" x14ac:dyDescent="0.25">
      <c r="A372" s="130" t="s">
        <v>533</v>
      </c>
      <c r="B372" s="132" t="s">
        <v>745</v>
      </c>
      <c r="C372" s="118" t="s">
        <v>746</v>
      </c>
      <c r="D372" s="127" t="s">
        <v>747</v>
      </c>
      <c r="E372" s="56">
        <v>76</v>
      </c>
      <c r="F372" s="56">
        <v>76</v>
      </c>
      <c r="G372" s="123" t="s">
        <v>755</v>
      </c>
      <c r="H372" s="123" t="s">
        <v>1502</v>
      </c>
      <c r="I372" s="103" t="s">
        <v>757</v>
      </c>
      <c r="J372" s="103" t="s">
        <v>1682</v>
      </c>
      <c r="K372" s="178">
        <v>0</v>
      </c>
      <c r="L372" s="179">
        <v>100</v>
      </c>
      <c r="M372" s="56" t="s">
        <v>228</v>
      </c>
      <c r="N372" s="56" t="s">
        <v>369</v>
      </c>
      <c r="O372" s="54" t="s">
        <v>193</v>
      </c>
      <c r="P372" s="58" t="s">
        <v>39</v>
      </c>
      <c r="Q372" s="171" t="s">
        <v>1680</v>
      </c>
      <c r="R372" s="182">
        <v>0</v>
      </c>
      <c r="S372" s="178">
        <v>33</v>
      </c>
      <c r="T372" s="178">
        <v>33</v>
      </c>
      <c r="U372" s="183">
        <v>34</v>
      </c>
      <c r="V372" s="59"/>
      <c r="W372" s="60"/>
      <c r="X372" s="60"/>
      <c r="Y372" s="60"/>
      <c r="Z372" s="60"/>
      <c r="AA372" s="61"/>
      <c r="AB372" s="62">
        <f>1880000000/2</f>
        <v>940000000</v>
      </c>
      <c r="AC372" s="60"/>
      <c r="AD372" s="60"/>
      <c r="AE372" s="60"/>
      <c r="AF372" s="60"/>
      <c r="AG372" s="60"/>
      <c r="AH372" s="63"/>
      <c r="AI372" s="62">
        <f>1880000000/2</f>
        <v>940000000</v>
      </c>
      <c r="AJ372" s="60"/>
      <c r="AK372" s="60"/>
      <c r="AL372" s="60"/>
      <c r="AM372" s="60"/>
      <c r="AN372" s="60"/>
      <c r="AO372" s="63"/>
      <c r="AP372" s="62">
        <f>1880000000/2</f>
        <v>940000000</v>
      </c>
      <c r="AQ372" s="60"/>
      <c r="AR372" s="60"/>
      <c r="AS372" s="60"/>
      <c r="AT372" s="60"/>
      <c r="AU372" s="60"/>
      <c r="AV372" s="64"/>
      <c r="AW372" s="55">
        <f t="shared" si="28"/>
        <v>0</v>
      </c>
      <c r="AX372" s="55">
        <f t="shared" si="29"/>
        <v>940000000</v>
      </c>
      <c r="AY372" s="55">
        <f t="shared" si="30"/>
        <v>940000000</v>
      </c>
      <c r="AZ372" s="55">
        <f t="shared" si="31"/>
        <v>940000000</v>
      </c>
      <c r="BA372" s="55">
        <f t="shared" si="32"/>
        <v>2820000000</v>
      </c>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c r="CC372" s="32"/>
      <c r="CD372" s="32"/>
      <c r="CE372" s="32"/>
      <c r="CF372" s="32"/>
      <c r="CG372" s="32"/>
      <c r="CH372" s="32"/>
      <c r="CI372" s="32"/>
      <c r="CJ372" s="32"/>
      <c r="CK372" s="32"/>
      <c r="CL372" s="32"/>
      <c r="CM372" s="32"/>
      <c r="CN372" s="32"/>
      <c r="CO372" s="32"/>
      <c r="CP372" s="32"/>
      <c r="CQ372" s="32"/>
      <c r="CR372" s="32"/>
      <c r="CS372" s="32"/>
      <c r="CT372" s="32"/>
      <c r="CU372" s="32"/>
      <c r="CV372" s="32"/>
      <c r="CW372" s="32"/>
      <c r="CX372" s="32"/>
      <c r="CY372" s="32"/>
      <c r="CZ372" s="32"/>
      <c r="DA372" s="32"/>
      <c r="DB372" s="32"/>
      <c r="DC372" s="32"/>
      <c r="DD372" s="32"/>
      <c r="DE372" s="32"/>
      <c r="DF372" s="32"/>
      <c r="DG372" s="32"/>
      <c r="DH372" s="32"/>
      <c r="DI372" s="32"/>
      <c r="DJ372" s="32"/>
      <c r="DK372" s="32"/>
      <c r="DL372" s="32"/>
      <c r="DM372" s="32"/>
      <c r="DN372" s="32"/>
      <c r="DO372" s="32"/>
      <c r="DP372" s="32"/>
      <c r="DQ372" s="32"/>
      <c r="DR372" s="32"/>
      <c r="DS372" s="32"/>
      <c r="DT372" s="32"/>
      <c r="DU372" s="32"/>
      <c r="DV372" s="32"/>
      <c r="DW372" s="32"/>
      <c r="DX372" s="32"/>
      <c r="DY372" s="32"/>
      <c r="DZ372" s="32"/>
      <c r="EA372" s="32"/>
      <c r="EB372" s="32"/>
      <c r="EC372" s="32"/>
    </row>
    <row r="373" spans="1:133" s="13" customFormat="1" ht="126" x14ac:dyDescent="0.25">
      <c r="A373" s="130" t="s">
        <v>533</v>
      </c>
      <c r="B373" s="132" t="s">
        <v>745</v>
      </c>
      <c r="C373" s="118" t="s">
        <v>746</v>
      </c>
      <c r="D373" s="127" t="s">
        <v>747</v>
      </c>
      <c r="E373" s="56">
        <v>76</v>
      </c>
      <c r="F373" s="56">
        <v>76</v>
      </c>
      <c r="G373" s="104" t="s">
        <v>758</v>
      </c>
      <c r="H373" s="104" t="s">
        <v>1503</v>
      </c>
      <c r="I373" s="103" t="s">
        <v>759</v>
      </c>
      <c r="J373" s="103" t="s">
        <v>1685</v>
      </c>
      <c r="K373" s="56">
        <v>0</v>
      </c>
      <c r="L373" s="86">
        <v>1</v>
      </c>
      <c r="M373" s="56" t="s">
        <v>228</v>
      </c>
      <c r="N373" s="56" t="s">
        <v>369</v>
      </c>
      <c r="O373" s="54" t="s">
        <v>193</v>
      </c>
      <c r="P373" s="58" t="s">
        <v>254</v>
      </c>
      <c r="Q373" s="54" t="s">
        <v>1679</v>
      </c>
      <c r="R373" s="182">
        <v>1</v>
      </c>
      <c r="S373" s="178">
        <v>1</v>
      </c>
      <c r="T373" s="178">
        <v>1</v>
      </c>
      <c r="U373" s="183">
        <v>1</v>
      </c>
      <c r="V373" s="59">
        <v>30000000</v>
      </c>
      <c r="W373" s="60"/>
      <c r="X373" s="60"/>
      <c r="Y373" s="60"/>
      <c r="Z373" s="60"/>
      <c r="AA373" s="61"/>
      <c r="AB373" s="62">
        <v>2546000000</v>
      </c>
      <c r="AC373" s="60"/>
      <c r="AD373" s="60"/>
      <c r="AE373" s="60"/>
      <c r="AF373" s="60"/>
      <c r="AG373" s="60"/>
      <c r="AH373" s="63"/>
      <c r="AI373" s="62">
        <v>2546000000</v>
      </c>
      <c r="AJ373" s="60"/>
      <c r="AK373" s="60"/>
      <c r="AL373" s="60"/>
      <c r="AM373" s="60"/>
      <c r="AN373" s="60"/>
      <c r="AO373" s="63"/>
      <c r="AP373" s="62">
        <v>2546000000</v>
      </c>
      <c r="AQ373" s="60"/>
      <c r="AR373" s="60"/>
      <c r="AS373" s="60"/>
      <c r="AT373" s="60"/>
      <c r="AU373" s="60"/>
      <c r="AV373" s="64"/>
      <c r="AW373" s="55">
        <f t="shared" si="28"/>
        <v>30000000</v>
      </c>
      <c r="AX373" s="55">
        <f t="shared" si="29"/>
        <v>2546000000</v>
      </c>
      <c r="AY373" s="55">
        <f t="shared" si="30"/>
        <v>2546000000</v>
      </c>
      <c r="AZ373" s="55">
        <f t="shared" si="31"/>
        <v>2546000000</v>
      </c>
      <c r="BA373" s="55">
        <f t="shared" si="32"/>
        <v>7668000000</v>
      </c>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c r="BY373" s="32"/>
      <c r="BZ373" s="32"/>
      <c r="CA373" s="32"/>
      <c r="CB373" s="32"/>
      <c r="CC373" s="32"/>
      <c r="CD373" s="32"/>
      <c r="CE373" s="32"/>
      <c r="CF373" s="32"/>
      <c r="CG373" s="32"/>
      <c r="CH373" s="32"/>
      <c r="CI373" s="32"/>
      <c r="CJ373" s="32"/>
      <c r="CK373" s="32"/>
      <c r="CL373" s="32"/>
      <c r="CM373" s="32"/>
      <c r="CN373" s="32"/>
      <c r="CO373" s="32"/>
      <c r="CP373" s="32"/>
      <c r="CQ373" s="32"/>
      <c r="CR373" s="32"/>
      <c r="CS373" s="32"/>
      <c r="CT373" s="32"/>
      <c r="CU373" s="32"/>
      <c r="CV373" s="32"/>
      <c r="CW373" s="32"/>
      <c r="CX373" s="32"/>
      <c r="CY373" s="32"/>
      <c r="CZ373" s="32"/>
      <c r="DA373" s="32"/>
      <c r="DB373" s="32"/>
      <c r="DC373" s="32"/>
      <c r="DD373" s="32"/>
      <c r="DE373" s="32"/>
      <c r="DF373" s="32"/>
      <c r="DG373" s="32"/>
      <c r="DH373" s="32"/>
      <c r="DI373" s="32"/>
      <c r="DJ373" s="32"/>
      <c r="DK373" s="32"/>
      <c r="DL373" s="32"/>
      <c r="DM373" s="32"/>
      <c r="DN373" s="32"/>
      <c r="DO373" s="32"/>
      <c r="DP373" s="32"/>
      <c r="DQ373" s="32"/>
      <c r="DR373" s="32"/>
      <c r="DS373" s="32"/>
      <c r="DT373" s="32"/>
      <c r="DU373" s="32"/>
      <c r="DV373" s="32"/>
      <c r="DW373" s="32"/>
      <c r="DX373" s="32"/>
      <c r="DY373" s="32"/>
      <c r="DZ373" s="32"/>
      <c r="EA373" s="32"/>
      <c r="EB373" s="32"/>
      <c r="EC373" s="32"/>
    </row>
    <row r="374" spans="1:133" s="13" customFormat="1" ht="126" x14ac:dyDescent="0.25">
      <c r="A374" s="130" t="s">
        <v>533</v>
      </c>
      <c r="B374" s="132" t="s">
        <v>745</v>
      </c>
      <c r="C374" s="118" t="s">
        <v>746</v>
      </c>
      <c r="D374" s="127" t="s">
        <v>747</v>
      </c>
      <c r="E374" s="56">
        <v>76</v>
      </c>
      <c r="F374" s="56">
        <v>76</v>
      </c>
      <c r="G374" s="122" t="s">
        <v>761</v>
      </c>
      <c r="H374" s="122" t="s">
        <v>1504</v>
      </c>
      <c r="I374" s="103" t="s">
        <v>762</v>
      </c>
      <c r="J374" s="103" t="s">
        <v>1682</v>
      </c>
      <c r="K374" s="178">
        <v>100</v>
      </c>
      <c r="L374" s="179">
        <v>100</v>
      </c>
      <c r="M374" s="56" t="s">
        <v>228</v>
      </c>
      <c r="N374" s="56" t="s">
        <v>369</v>
      </c>
      <c r="O374" s="54" t="s">
        <v>193</v>
      </c>
      <c r="P374" s="58" t="s">
        <v>42</v>
      </c>
      <c r="Q374" s="54" t="s">
        <v>1679</v>
      </c>
      <c r="R374" s="182">
        <v>100</v>
      </c>
      <c r="S374" s="178">
        <v>100</v>
      </c>
      <c r="T374" s="178">
        <v>100</v>
      </c>
      <c r="U374" s="183">
        <v>100</v>
      </c>
      <c r="V374" s="59">
        <v>3251684675</v>
      </c>
      <c r="W374" s="60"/>
      <c r="X374" s="60"/>
      <c r="Y374" s="60"/>
      <c r="Z374" s="60"/>
      <c r="AA374" s="61"/>
      <c r="AB374" s="62">
        <v>4000000000</v>
      </c>
      <c r="AC374" s="60"/>
      <c r="AD374" s="60"/>
      <c r="AE374" s="60"/>
      <c r="AF374" s="60"/>
      <c r="AG374" s="60"/>
      <c r="AH374" s="63"/>
      <c r="AI374" s="62">
        <v>4000000000</v>
      </c>
      <c r="AJ374" s="60"/>
      <c r="AK374" s="60"/>
      <c r="AL374" s="60"/>
      <c r="AM374" s="60"/>
      <c r="AN374" s="60"/>
      <c r="AO374" s="63"/>
      <c r="AP374" s="62">
        <v>4000000000</v>
      </c>
      <c r="AQ374" s="60"/>
      <c r="AR374" s="60"/>
      <c r="AS374" s="60"/>
      <c r="AT374" s="60"/>
      <c r="AU374" s="60"/>
      <c r="AV374" s="64"/>
      <c r="AW374" s="55">
        <f t="shared" si="28"/>
        <v>3251684675</v>
      </c>
      <c r="AX374" s="55">
        <f t="shared" si="29"/>
        <v>4000000000</v>
      </c>
      <c r="AY374" s="55">
        <f t="shared" si="30"/>
        <v>4000000000</v>
      </c>
      <c r="AZ374" s="55">
        <f t="shared" si="31"/>
        <v>4000000000</v>
      </c>
      <c r="BA374" s="55">
        <f t="shared" si="32"/>
        <v>15251684675</v>
      </c>
      <c r="BB374" s="32"/>
      <c r="BC374" s="32"/>
      <c r="BD374" s="32"/>
      <c r="BE374" s="32"/>
      <c r="BF374" s="32"/>
      <c r="BG374" s="32"/>
      <c r="BH374" s="32"/>
      <c r="BI374" s="32"/>
      <c r="BJ374" s="32"/>
      <c r="BK374" s="32"/>
      <c r="BL374" s="32"/>
      <c r="BM374" s="32"/>
      <c r="BN374" s="32"/>
      <c r="BO374" s="32"/>
      <c r="BP374" s="32"/>
      <c r="BQ374" s="32"/>
      <c r="BR374" s="32"/>
      <c r="BS374" s="32"/>
      <c r="BT374" s="32"/>
      <c r="BU374" s="32"/>
      <c r="BV374" s="32"/>
      <c r="BW374" s="32"/>
      <c r="BX374" s="32"/>
      <c r="BY374" s="32"/>
      <c r="BZ374" s="32"/>
      <c r="CA374" s="32"/>
      <c r="CB374" s="32"/>
      <c r="CC374" s="32"/>
      <c r="CD374" s="32"/>
      <c r="CE374" s="32"/>
      <c r="CF374" s="32"/>
      <c r="CG374" s="32"/>
      <c r="CH374" s="32"/>
      <c r="CI374" s="32"/>
      <c r="CJ374" s="32"/>
      <c r="CK374" s="32"/>
      <c r="CL374" s="32"/>
      <c r="CM374" s="32"/>
      <c r="CN374" s="32"/>
      <c r="CO374" s="32"/>
      <c r="CP374" s="32"/>
      <c r="CQ374" s="32"/>
      <c r="CR374" s="32"/>
      <c r="CS374" s="32"/>
      <c r="CT374" s="32"/>
      <c r="CU374" s="32"/>
      <c r="CV374" s="32"/>
      <c r="CW374" s="32"/>
      <c r="CX374" s="32"/>
      <c r="CY374" s="32"/>
      <c r="CZ374" s="32"/>
      <c r="DA374" s="32"/>
      <c r="DB374" s="32"/>
      <c r="DC374" s="32"/>
      <c r="DD374" s="32"/>
      <c r="DE374" s="32"/>
      <c r="DF374" s="32"/>
      <c r="DG374" s="32"/>
      <c r="DH374" s="32"/>
      <c r="DI374" s="32"/>
      <c r="DJ374" s="32"/>
      <c r="DK374" s="32"/>
      <c r="DL374" s="32"/>
      <c r="DM374" s="32"/>
      <c r="DN374" s="32"/>
      <c r="DO374" s="32"/>
      <c r="DP374" s="32"/>
      <c r="DQ374" s="32"/>
      <c r="DR374" s="32"/>
      <c r="DS374" s="32"/>
      <c r="DT374" s="32"/>
      <c r="DU374" s="32"/>
      <c r="DV374" s="32"/>
      <c r="DW374" s="32"/>
      <c r="DX374" s="32"/>
      <c r="DY374" s="32"/>
      <c r="DZ374" s="32"/>
      <c r="EA374" s="32"/>
      <c r="EB374" s="32"/>
      <c r="EC374" s="32"/>
    </row>
    <row r="375" spans="1:133" s="13" customFormat="1" ht="63" x14ac:dyDescent="0.25">
      <c r="A375" s="130" t="s">
        <v>533</v>
      </c>
      <c r="B375" s="132" t="s">
        <v>745</v>
      </c>
      <c r="C375" s="118" t="s">
        <v>746</v>
      </c>
      <c r="D375" s="127" t="s">
        <v>747</v>
      </c>
      <c r="E375" s="56">
        <v>76</v>
      </c>
      <c r="F375" s="56">
        <v>76</v>
      </c>
      <c r="G375" s="122" t="s">
        <v>761</v>
      </c>
      <c r="H375" s="122" t="s">
        <v>1505</v>
      </c>
      <c r="I375" s="103" t="s">
        <v>763</v>
      </c>
      <c r="J375" s="103" t="s">
        <v>1682</v>
      </c>
      <c r="K375" s="178">
        <v>80</v>
      </c>
      <c r="L375" s="179">
        <v>100</v>
      </c>
      <c r="M375" s="56" t="s">
        <v>228</v>
      </c>
      <c r="N375" s="56" t="s">
        <v>369</v>
      </c>
      <c r="O375" s="54" t="s">
        <v>193</v>
      </c>
      <c r="P375" s="58" t="s">
        <v>39</v>
      </c>
      <c r="Q375" s="171" t="s">
        <v>1680</v>
      </c>
      <c r="R375" s="182">
        <v>0</v>
      </c>
      <c r="S375" s="178">
        <v>5</v>
      </c>
      <c r="T375" s="178">
        <v>5</v>
      </c>
      <c r="U375" s="183">
        <v>10</v>
      </c>
      <c r="V375" s="59"/>
      <c r="W375" s="60"/>
      <c r="X375" s="60"/>
      <c r="Y375" s="60"/>
      <c r="Z375" s="60"/>
      <c r="AA375" s="61"/>
      <c r="AB375" s="62">
        <v>4000000000</v>
      </c>
      <c r="AC375" s="60"/>
      <c r="AD375" s="60"/>
      <c r="AE375" s="60"/>
      <c r="AF375" s="60"/>
      <c r="AG375" s="60"/>
      <c r="AH375" s="63"/>
      <c r="AI375" s="62">
        <v>4000000000</v>
      </c>
      <c r="AJ375" s="60"/>
      <c r="AK375" s="60"/>
      <c r="AL375" s="60"/>
      <c r="AM375" s="60"/>
      <c r="AN375" s="60"/>
      <c r="AO375" s="63"/>
      <c r="AP375" s="62">
        <v>4000000000</v>
      </c>
      <c r="AQ375" s="60"/>
      <c r="AR375" s="60"/>
      <c r="AS375" s="60"/>
      <c r="AT375" s="60"/>
      <c r="AU375" s="60"/>
      <c r="AV375" s="64"/>
      <c r="AW375" s="55">
        <f t="shared" si="28"/>
        <v>0</v>
      </c>
      <c r="AX375" s="55">
        <f t="shared" si="29"/>
        <v>4000000000</v>
      </c>
      <c r="AY375" s="55">
        <f t="shared" si="30"/>
        <v>4000000000</v>
      </c>
      <c r="AZ375" s="55">
        <f t="shared" si="31"/>
        <v>4000000000</v>
      </c>
      <c r="BA375" s="55">
        <f t="shared" si="32"/>
        <v>12000000000</v>
      </c>
      <c r="BB375" s="32"/>
      <c r="BC375" s="32"/>
      <c r="BD375" s="32"/>
      <c r="BE375" s="32"/>
      <c r="BF375" s="32"/>
      <c r="BG375" s="32"/>
      <c r="BH375" s="32"/>
      <c r="BI375" s="32"/>
      <c r="BJ375" s="32"/>
      <c r="BK375" s="32"/>
      <c r="BL375" s="32"/>
      <c r="BM375" s="32"/>
      <c r="BN375" s="32"/>
      <c r="BO375" s="32"/>
      <c r="BP375" s="32"/>
      <c r="BQ375" s="32"/>
      <c r="BR375" s="32"/>
      <c r="BS375" s="32"/>
      <c r="BT375" s="32"/>
      <c r="BU375" s="32"/>
      <c r="BV375" s="32"/>
      <c r="BW375" s="32"/>
      <c r="BX375" s="32"/>
      <c r="BY375" s="32"/>
      <c r="BZ375" s="32"/>
      <c r="CA375" s="32"/>
      <c r="CB375" s="32"/>
      <c r="CC375" s="32"/>
      <c r="CD375" s="32"/>
      <c r="CE375" s="32"/>
      <c r="CF375" s="32"/>
      <c r="CG375" s="32"/>
      <c r="CH375" s="32"/>
      <c r="CI375" s="32"/>
      <c r="CJ375" s="32"/>
      <c r="CK375" s="32"/>
      <c r="CL375" s="32"/>
      <c r="CM375" s="32"/>
      <c r="CN375" s="32"/>
      <c r="CO375" s="32"/>
      <c r="CP375" s="32"/>
      <c r="CQ375" s="32"/>
      <c r="CR375" s="32"/>
      <c r="CS375" s="32"/>
      <c r="CT375" s="32"/>
      <c r="CU375" s="32"/>
      <c r="CV375" s="32"/>
      <c r="CW375" s="32"/>
      <c r="CX375" s="32"/>
      <c r="CY375" s="32"/>
      <c r="CZ375" s="32"/>
      <c r="DA375" s="32"/>
      <c r="DB375" s="32"/>
      <c r="DC375" s="32"/>
      <c r="DD375" s="32"/>
      <c r="DE375" s="32"/>
      <c r="DF375" s="32"/>
      <c r="DG375" s="32"/>
      <c r="DH375" s="32"/>
      <c r="DI375" s="32"/>
      <c r="DJ375" s="32"/>
      <c r="DK375" s="32"/>
      <c r="DL375" s="32"/>
      <c r="DM375" s="32"/>
      <c r="DN375" s="32"/>
      <c r="DO375" s="32"/>
      <c r="DP375" s="32"/>
      <c r="DQ375" s="32"/>
      <c r="DR375" s="32"/>
      <c r="DS375" s="32"/>
      <c r="DT375" s="32"/>
      <c r="DU375" s="32"/>
      <c r="DV375" s="32"/>
      <c r="DW375" s="32"/>
      <c r="DX375" s="32"/>
      <c r="DY375" s="32"/>
      <c r="DZ375" s="32"/>
      <c r="EA375" s="32"/>
      <c r="EB375" s="32"/>
      <c r="EC375" s="32"/>
    </row>
    <row r="376" spans="1:133" s="13" customFormat="1" ht="110.25" x14ac:dyDescent="0.25">
      <c r="A376" s="130" t="s">
        <v>533</v>
      </c>
      <c r="B376" s="132" t="s">
        <v>745</v>
      </c>
      <c r="C376" s="118" t="s">
        <v>764</v>
      </c>
      <c r="D376" s="127" t="s">
        <v>765</v>
      </c>
      <c r="E376" s="127" t="s">
        <v>766</v>
      </c>
      <c r="F376" s="127" t="s">
        <v>767</v>
      </c>
      <c r="G376" s="122" t="s">
        <v>768</v>
      </c>
      <c r="H376" s="122" t="s">
        <v>1506</v>
      </c>
      <c r="I376" s="103" t="s">
        <v>769</v>
      </c>
      <c r="J376" s="103" t="s">
        <v>1685</v>
      </c>
      <c r="K376" s="56">
        <v>1</v>
      </c>
      <c r="L376" s="86">
        <v>1</v>
      </c>
      <c r="M376" s="56" t="s">
        <v>770</v>
      </c>
      <c r="N376" s="56" t="s">
        <v>369</v>
      </c>
      <c r="O376" s="54" t="s">
        <v>193</v>
      </c>
      <c r="P376" s="58" t="s">
        <v>39</v>
      </c>
      <c r="Q376" s="171" t="s">
        <v>1680</v>
      </c>
      <c r="R376" s="182">
        <v>0</v>
      </c>
      <c r="S376" s="178">
        <v>1</v>
      </c>
      <c r="T376" s="178">
        <v>0</v>
      </c>
      <c r="U376" s="183">
        <v>0</v>
      </c>
      <c r="V376" s="59"/>
      <c r="W376" s="60"/>
      <c r="X376" s="60"/>
      <c r="Y376" s="60"/>
      <c r="Z376" s="60"/>
      <c r="AA376" s="61"/>
      <c r="AB376" s="62">
        <v>2366000000</v>
      </c>
      <c r="AC376" s="60"/>
      <c r="AD376" s="60"/>
      <c r="AE376" s="60"/>
      <c r="AF376" s="60"/>
      <c r="AG376" s="60"/>
      <c r="AH376" s="63"/>
      <c r="AI376" s="62"/>
      <c r="AJ376" s="60"/>
      <c r="AK376" s="60"/>
      <c r="AL376" s="60"/>
      <c r="AM376" s="60"/>
      <c r="AN376" s="60"/>
      <c r="AO376" s="63"/>
      <c r="AP376" s="62"/>
      <c r="AQ376" s="60"/>
      <c r="AR376" s="60"/>
      <c r="AS376" s="60"/>
      <c r="AT376" s="60"/>
      <c r="AU376" s="60"/>
      <c r="AV376" s="64"/>
      <c r="AW376" s="55">
        <f t="shared" si="28"/>
        <v>0</v>
      </c>
      <c r="AX376" s="55">
        <f t="shared" si="29"/>
        <v>2366000000</v>
      </c>
      <c r="AY376" s="55">
        <f t="shared" si="30"/>
        <v>0</v>
      </c>
      <c r="AZ376" s="55">
        <f t="shared" si="31"/>
        <v>0</v>
      </c>
      <c r="BA376" s="55">
        <f t="shared" si="32"/>
        <v>2366000000</v>
      </c>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c r="CP376" s="4"/>
      <c r="CQ376" s="4"/>
      <c r="CR376" s="4"/>
      <c r="CS376" s="4"/>
      <c r="CT376" s="4"/>
      <c r="CU376" s="4"/>
      <c r="CV376" s="4"/>
      <c r="CW376" s="4"/>
      <c r="CX376" s="4"/>
      <c r="CY376" s="4"/>
      <c r="CZ376" s="4"/>
      <c r="DA376" s="4"/>
      <c r="DB376" s="4"/>
      <c r="DC376" s="4"/>
      <c r="DD376" s="4"/>
      <c r="DE376" s="4"/>
      <c r="DF376" s="4"/>
      <c r="DG376" s="4"/>
      <c r="DH376" s="4"/>
      <c r="DI376" s="4"/>
      <c r="DJ376" s="4"/>
      <c r="DK376" s="4"/>
      <c r="DL376" s="4"/>
      <c r="DM376" s="4"/>
      <c r="DN376" s="4"/>
      <c r="DO376" s="4"/>
      <c r="DP376" s="4"/>
      <c r="DQ376" s="4"/>
      <c r="DR376" s="4"/>
      <c r="DS376" s="4"/>
      <c r="DT376" s="4"/>
      <c r="DU376" s="4"/>
      <c r="DV376" s="4"/>
      <c r="DW376" s="4"/>
      <c r="DX376" s="4"/>
      <c r="DY376" s="4"/>
      <c r="DZ376" s="4"/>
      <c r="EA376" s="4"/>
      <c r="EB376" s="4"/>
      <c r="EC376" s="4"/>
    </row>
    <row r="377" spans="1:133" s="13" customFormat="1" ht="110.25" x14ac:dyDescent="0.25">
      <c r="A377" s="130" t="s">
        <v>533</v>
      </c>
      <c r="B377" s="132" t="s">
        <v>745</v>
      </c>
      <c r="C377" s="118" t="s">
        <v>764</v>
      </c>
      <c r="D377" s="127" t="s">
        <v>765</v>
      </c>
      <c r="E377" s="127" t="s">
        <v>766</v>
      </c>
      <c r="F377" s="127" t="s">
        <v>767</v>
      </c>
      <c r="G377" s="122" t="s">
        <v>768</v>
      </c>
      <c r="H377" s="122" t="s">
        <v>1507</v>
      </c>
      <c r="I377" s="103" t="s">
        <v>771</v>
      </c>
      <c r="J377" s="103" t="s">
        <v>1685</v>
      </c>
      <c r="K377" s="56">
        <v>1</v>
      </c>
      <c r="L377" s="86">
        <v>1</v>
      </c>
      <c r="M377" s="56" t="s">
        <v>770</v>
      </c>
      <c r="N377" s="56" t="s">
        <v>369</v>
      </c>
      <c r="O377" s="54" t="s">
        <v>193</v>
      </c>
      <c r="P377" s="58" t="s">
        <v>42</v>
      </c>
      <c r="Q377" s="54" t="s">
        <v>1679</v>
      </c>
      <c r="R377" s="182">
        <v>1</v>
      </c>
      <c r="S377" s="178">
        <v>1</v>
      </c>
      <c r="T377" s="178">
        <v>1</v>
      </c>
      <c r="U377" s="183">
        <v>1</v>
      </c>
      <c r="V377" s="59">
        <v>1600000000</v>
      </c>
      <c r="W377" s="60"/>
      <c r="X377" s="60"/>
      <c r="Y377" s="60"/>
      <c r="Z377" s="60"/>
      <c r="AA377" s="61"/>
      <c r="AB377" s="62">
        <v>2500000000</v>
      </c>
      <c r="AC377" s="60"/>
      <c r="AD377" s="60"/>
      <c r="AE377" s="60"/>
      <c r="AF377" s="60"/>
      <c r="AG377" s="60"/>
      <c r="AH377" s="63"/>
      <c r="AI377" s="62">
        <v>2595000000</v>
      </c>
      <c r="AJ377" s="60"/>
      <c r="AK377" s="60"/>
      <c r="AL377" s="60"/>
      <c r="AM377" s="60"/>
      <c r="AN377" s="60"/>
      <c r="AO377" s="63"/>
      <c r="AP377" s="62">
        <v>2693610000</v>
      </c>
      <c r="AQ377" s="60"/>
      <c r="AR377" s="60"/>
      <c r="AS377" s="60"/>
      <c r="AT377" s="60"/>
      <c r="AU377" s="60"/>
      <c r="AV377" s="64"/>
      <c r="AW377" s="55">
        <f t="shared" si="28"/>
        <v>1600000000</v>
      </c>
      <c r="AX377" s="55">
        <f t="shared" si="29"/>
        <v>2500000000</v>
      </c>
      <c r="AY377" s="55">
        <f t="shared" si="30"/>
        <v>2595000000</v>
      </c>
      <c r="AZ377" s="55">
        <f t="shared" si="31"/>
        <v>2693610000</v>
      </c>
      <c r="BA377" s="55">
        <f t="shared" si="32"/>
        <v>9388610000</v>
      </c>
      <c r="BB377" s="32"/>
      <c r="BC377" s="32"/>
      <c r="BD377" s="32"/>
      <c r="BE377" s="32"/>
      <c r="BF377" s="32"/>
      <c r="BG377" s="32"/>
      <c r="BH377" s="32"/>
      <c r="BI377" s="32"/>
      <c r="BJ377" s="32"/>
      <c r="BK377" s="32"/>
      <c r="BL377" s="32"/>
      <c r="BM377" s="32"/>
      <c r="BN377" s="32"/>
      <c r="BO377" s="32"/>
      <c r="BP377" s="32"/>
      <c r="BQ377" s="32"/>
      <c r="BR377" s="32"/>
      <c r="BS377" s="32"/>
      <c r="BT377" s="32"/>
      <c r="BU377" s="32"/>
      <c r="BV377" s="32"/>
      <c r="BW377" s="32"/>
      <c r="BX377" s="32"/>
      <c r="BY377" s="32"/>
      <c r="BZ377" s="32"/>
      <c r="CA377" s="32"/>
      <c r="CB377" s="32"/>
      <c r="CC377" s="32"/>
      <c r="CD377" s="32"/>
      <c r="CE377" s="32"/>
      <c r="CF377" s="32"/>
      <c r="CG377" s="32"/>
      <c r="CH377" s="32"/>
      <c r="CI377" s="32"/>
      <c r="CJ377" s="32"/>
      <c r="CK377" s="32"/>
      <c r="CL377" s="32"/>
      <c r="CM377" s="32"/>
      <c r="CN377" s="32"/>
      <c r="CO377" s="32"/>
      <c r="CP377" s="32"/>
      <c r="CQ377" s="32"/>
      <c r="CR377" s="32"/>
      <c r="CS377" s="32"/>
      <c r="CT377" s="32"/>
      <c r="CU377" s="32"/>
      <c r="CV377" s="32"/>
      <c r="CW377" s="32"/>
      <c r="CX377" s="32"/>
      <c r="CY377" s="32"/>
      <c r="CZ377" s="32"/>
      <c r="DA377" s="32"/>
      <c r="DB377" s="32"/>
      <c r="DC377" s="32"/>
      <c r="DD377" s="32"/>
      <c r="DE377" s="32"/>
      <c r="DF377" s="32"/>
      <c r="DG377" s="32"/>
      <c r="DH377" s="32"/>
      <c r="DI377" s="32"/>
      <c r="DJ377" s="32"/>
      <c r="DK377" s="32"/>
      <c r="DL377" s="32"/>
      <c r="DM377" s="32"/>
      <c r="DN377" s="32"/>
      <c r="DO377" s="32"/>
      <c r="DP377" s="32"/>
      <c r="DQ377" s="32"/>
      <c r="DR377" s="32"/>
      <c r="DS377" s="32"/>
      <c r="DT377" s="32"/>
      <c r="DU377" s="32"/>
      <c r="DV377" s="32"/>
      <c r="DW377" s="32"/>
      <c r="DX377" s="32"/>
      <c r="DY377" s="32"/>
      <c r="DZ377" s="32"/>
      <c r="EA377" s="32"/>
      <c r="EB377" s="32"/>
      <c r="EC377" s="32"/>
    </row>
    <row r="378" spans="1:133" s="13" customFormat="1" ht="110.25" x14ac:dyDescent="0.25">
      <c r="A378" s="130" t="s">
        <v>533</v>
      </c>
      <c r="B378" s="132" t="s">
        <v>745</v>
      </c>
      <c r="C378" s="118" t="s">
        <v>764</v>
      </c>
      <c r="D378" s="127" t="s">
        <v>765</v>
      </c>
      <c r="E378" s="127" t="s">
        <v>766</v>
      </c>
      <c r="F378" s="127" t="s">
        <v>767</v>
      </c>
      <c r="G378" s="122" t="s">
        <v>768</v>
      </c>
      <c r="H378" s="122" t="s">
        <v>1508</v>
      </c>
      <c r="I378" s="103" t="s">
        <v>772</v>
      </c>
      <c r="J378" s="103" t="s">
        <v>1685</v>
      </c>
      <c r="K378" s="56">
        <v>0</v>
      </c>
      <c r="L378" s="86">
        <v>1</v>
      </c>
      <c r="M378" s="56" t="s">
        <v>770</v>
      </c>
      <c r="N378" s="56" t="s">
        <v>369</v>
      </c>
      <c r="O378" s="54" t="s">
        <v>193</v>
      </c>
      <c r="P378" s="58" t="s">
        <v>39</v>
      </c>
      <c r="Q378" s="171" t="s">
        <v>1680</v>
      </c>
      <c r="R378" s="182">
        <v>1</v>
      </c>
      <c r="S378" s="178">
        <v>0</v>
      </c>
      <c r="T378" s="178">
        <v>0</v>
      </c>
      <c r="U378" s="183">
        <v>0</v>
      </c>
      <c r="V378" s="59">
        <v>1186200000</v>
      </c>
      <c r="W378" s="60"/>
      <c r="X378" s="60"/>
      <c r="Y378" s="60"/>
      <c r="Z378" s="60"/>
      <c r="AA378" s="61"/>
      <c r="AB378" s="62"/>
      <c r="AC378" s="60"/>
      <c r="AD378" s="60"/>
      <c r="AE378" s="60"/>
      <c r="AF378" s="60"/>
      <c r="AG378" s="60"/>
      <c r="AH378" s="63"/>
      <c r="AI378" s="62"/>
      <c r="AJ378" s="60"/>
      <c r="AK378" s="60"/>
      <c r="AL378" s="60"/>
      <c r="AM378" s="60"/>
      <c r="AN378" s="60"/>
      <c r="AO378" s="63"/>
      <c r="AP378" s="62"/>
      <c r="AQ378" s="60"/>
      <c r="AR378" s="60"/>
      <c r="AS378" s="60"/>
      <c r="AT378" s="60"/>
      <c r="AU378" s="60"/>
      <c r="AV378" s="64"/>
      <c r="AW378" s="55">
        <f t="shared" si="28"/>
        <v>1186200000</v>
      </c>
      <c r="AX378" s="55">
        <f t="shared" si="29"/>
        <v>0</v>
      </c>
      <c r="AY378" s="55">
        <f t="shared" si="30"/>
        <v>0</v>
      </c>
      <c r="AZ378" s="55">
        <f t="shared" si="31"/>
        <v>0</v>
      </c>
      <c r="BA378" s="55">
        <f t="shared" si="32"/>
        <v>1186200000</v>
      </c>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c r="CP378" s="4"/>
      <c r="CQ378" s="4"/>
      <c r="CR378" s="4"/>
      <c r="CS378" s="4"/>
      <c r="CT378" s="4"/>
      <c r="CU378" s="4"/>
      <c r="CV378" s="4"/>
      <c r="CW378" s="4"/>
      <c r="CX378" s="4"/>
      <c r="CY378" s="4"/>
      <c r="CZ378" s="4"/>
      <c r="DA378" s="4"/>
      <c r="DB378" s="4"/>
      <c r="DC378" s="4"/>
      <c r="DD378" s="4"/>
      <c r="DE378" s="4"/>
      <c r="DF378" s="4"/>
      <c r="DG378" s="4"/>
      <c r="DH378" s="4"/>
      <c r="DI378" s="4"/>
      <c r="DJ378" s="4"/>
      <c r="DK378" s="4"/>
      <c r="DL378" s="4"/>
      <c r="DM378" s="4"/>
      <c r="DN378" s="4"/>
      <c r="DO378" s="4"/>
      <c r="DP378" s="4"/>
      <c r="DQ378" s="4"/>
      <c r="DR378" s="4"/>
      <c r="DS378" s="4"/>
      <c r="DT378" s="4"/>
      <c r="DU378" s="4"/>
      <c r="DV378" s="4"/>
      <c r="DW378" s="4"/>
      <c r="DX378" s="4"/>
      <c r="DY378" s="4"/>
      <c r="DZ378" s="4"/>
      <c r="EA378" s="4"/>
      <c r="EB378" s="4"/>
      <c r="EC378" s="4"/>
    </row>
    <row r="379" spans="1:133" s="13" customFormat="1" ht="110.25" x14ac:dyDescent="0.25">
      <c r="A379" s="130" t="s">
        <v>533</v>
      </c>
      <c r="B379" s="132" t="s">
        <v>745</v>
      </c>
      <c r="C379" s="118" t="s">
        <v>764</v>
      </c>
      <c r="D379" s="127" t="s">
        <v>765</v>
      </c>
      <c r="E379" s="127" t="s">
        <v>766</v>
      </c>
      <c r="F379" s="127" t="s">
        <v>767</v>
      </c>
      <c r="G379" s="122" t="s">
        <v>768</v>
      </c>
      <c r="H379" s="122" t="s">
        <v>1509</v>
      </c>
      <c r="I379" s="103" t="s">
        <v>773</v>
      </c>
      <c r="J379" s="103" t="s">
        <v>1682</v>
      </c>
      <c r="K379" s="178">
        <v>66</v>
      </c>
      <c r="L379" s="179">
        <v>80</v>
      </c>
      <c r="M379" s="56" t="s">
        <v>770</v>
      </c>
      <c r="N379" s="56" t="s">
        <v>369</v>
      </c>
      <c r="O379" s="54" t="s">
        <v>193</v>
      </c>
      <c r="P379" s="58" t="s">
        <v>1677</v>
      </c>
      <c r="Q379" s="171" t="s">
        <v>1679</v>
      </c>
      <c r="R379" s="182">
        <v>70</v>
      </c>
      <c r="S379" s="178">
        <v>73</v>
      </c>
      <c r="T379" s="178">
        <v>78</v>
      </c>
      <c r="U379" s="183">
        <v>80</v>
      </c>
      <c r="V379" s="59">
        <v>400000000</v>
      </c>
      <c r="W379" s="60"/>
      <c r="X379" s="60"/>
      <c r="Y379" s="60"/>
      <c r="Z379" s="60"/>
      <c r="AA379" s="61"/>
      <c r="AB379" s="62">
        <v>600000000</v>
      </c>
      <c r="AC379" s="60"/>
      <c r="AD379" s="60"/>
      <c r="AE379" s="60"/>
      <c r="AF379" s="60"/>
      <c r="AG379" s="60"/>
      <c r="AH379" s="63"/>
      <c r="AI379" s="62">
        <v>622800000</v>
      </c>
      <c r="AJ379" s="60"/>
      <c r="AK379" s="60"/>
      <c r="AL379" s="60"/>
      <c r="AM379" s="60"/>
      <c r="AN379" s="60"/>
      <c r="AO379" s="63"/>
      <c r="AP379" s="62">
        <v>646466400</v>
      </c>
      <c r="AQ379" s="60"/>
      <c r="AR379" s="60"/>
      <c r="AS379" s="60"/>
      <c r="AT379" s="60"/>
      <c r="AU379" s="60"/>
      <c r="AV379" s="64"/>
      <c r="AW379" s="55">
        <f t="shared" si="28"/>
        <v>400000000</v>
      </c>
      <c r="AX379" s="55">
        <f t="shared" si="29"/>
        <v>600000000</v>
      </c>
      <c r="AY379" s="55">
        <f t="shared" si="30"/>
        <v>622800000</v>
      </c>
      <c r="AZ379" s="55">
        <f t="shared" si="31"/>
        <v>646466400</v>
      </c>
      <c r="BA379" s="55">
        <f t="shared" si="32"/>
        <v>2269266400</v>
      </c>
      <c r="BB379" s="32"/>
      <c r="BC379" s="32"/>
      <c r="BD379" s="32"/>
      <c r="BE379" s="32"/>
      <c r="BF379" s="32"/>
      <c r="BG379" s="32"/>
      <c r="BH379" s="32"/>
      <c r="BI379" s="32"/>
      <c r="BJ379" s="32"/>
      <c r="BK379" s="32"/>
      <c r="BL379" s="32"/>
      <c r="BM379" s="32"/>
      <c r="BN379" s="32"/>
      <c r="BO379" s="32"/>
      <c r="BP379" s="32"/>
      <c r="BQ379" s="32"/>
      <c r="BR379" s="32"/>
      <c r="BS379" s="32"/>
      <c r="BT379" s="32"/>
      <c r="BU379" s="32"/>
      <c r="BV379" s="32"/>
      <c r="BW379" s="32"/>
      <c r="BX379" s="32"/>
      <c r="BY379" s="32"/>
      <c r="BZ379" s="32"/>
      <c r="CA379" s="32"/>
      <c r="CB379" s="32"/>
      <c r="CC379" s="32"/>
      <c r="CD379" s="32"/>
      <c r="CE379" s="32"/>
      <c r="CF379" s="32"/>
      <c r="CG379" s="32"/>
      <c r="CH379" s="32"/>
      <c r="CI379" s="32"/>
      <c r="CJ379" s="32"/>
      <c r="CK379" s="32"/>
      <c r="CL379" s="32"/>
      <c r="CM379" s="32"/>
      <c r="CN379" s="32"/>
      <c r="CO379" s="32"/>
      <c r="CP379" s="32"/>
      <c r="CQ379" s="32"/>
      <c r="CR379" s="32"/>
      <c r="CS379" s="32"/>
      <c r="CT379" s="32"/>
      <c r="CU379" s="32"/>
      <c r="CV379" s="32"/>
      <c r="CW379" s="32"/>
      <c r="CX379" s="32"/>
      <c r="CY379" s="32"/>
      <c r="CZ379" s="32"/>
      <c r="DA379" s="32"/>
      <c r="DB379" s="32"/>
      <c r="DC379" s="32"/>
      <c r="DD379" s="32"/>
      <c r="DE379" s="32"/>
      <c r="DF379" s="32"/>
      <c r="DG379" s="32"/>
      <c r="DH379" s="32"/>
      <c r="DI379" s="32"/>
      <c r="DJ379" s="32"/>
      <c r="DK379" s="32"/>
      <c r="DL379" s="32"/>
      <c r="DM379" s="32"/>
      <c r="DN379" s="32"/>
      <c r="DO379" s="32"/>
      <c r="DP379" s="32"/>
      <c r="DQ379" s="32"/>
      <c r="DR379" s="32"/>
      <c r="DS379" s="32"/>
      <c r="DT379" s="32"/>
      <c r="DU379" s="32"/>
      <c r="DV379" s="32"/>
      <c r="DW379" s="32"/>
      <c r="DX379" s="32"/>
      <c r="DY379" s="32"/>
      <c r="DZ379" s="32"/>
      <c r="EA379" s="32"/>
      <c r="EB379" s="32"/>
      <c r="EC379" s="32"/>
    </row>
    <row r="380" spans="1:133" s="13" customFormat="1" ht="110.25" x14ac:dyDescent="0.25">
      <c r="A380" s="130" t="s">
        <v>533</v>
      </c>
      <c r="B380" s="132" t="s">
        <v>745</v>
      </c>
      <c r="C380" s="118" t="s">
        <v>764</v>
      </c>
      <c r="D380" s="127" t="s">
        <v>765</v>
      </c>
      <c r="E380" s="127" t="s">
        <v>766</v>
      </c>
      <c r="F380" s="127" t="s">
        <v>767</v>
      </c>
      <c r="G380" s="122" t="s">
        <v>774</v>
      </c>
      <c r="H380" s="122" t="s">
        <v>1510</v>
      </c>
      <c r="I380" s="103" t="s">
        <v>775</v>
      </c>
      <c r="J380" s="103" t="s">
        <v>1682</v>
      </c>
      <c r="K380" s="57" t="s">
        <v>41</v>
      </c>
      <c r="L380" s="179">
        <v>80</v>
      </c>
      <c r="M380" s="56" t="s">
        <v>776</v>
      </c>
      <c r="N380" s="56" t="s">
        <v>369</v>
      </c>
      <c r="O380" s="54" t="s">
        <v>193</v>
      </c>
      <c r="P380" s="58" t="s">
        <v>39</v>
      </c>
      <c r="Q380" s="171" t="s">
        <v>1679</v>
      </c>
      <c r="R380" s="182">
        <v>10</v>
      </c>
      <c r="S380" s="178">
        <v>40</v>
      </c>
      <c r="T380" s="178">
        <v>60</v>
      </c>
      <c r="U380" s="183">
        <v>80</v>
      </c>
      <c r="V380" s="59">
        <v>100000000</v>
      </c>
      <c r="W380" s="60"/>
      <c r="X380" s="60"/>
      <c r="Y380" s="60"/>
      <c r="Z380" s="60"/>
      <c r="AA380" s="61"/>
      <c r="AB380" s="62">
        <v>400000000</v>
      </c>
      <c r="AC380" s="60"/>
      <c r="AD380" s="60"/>
      <c r="AE380" s="60"/>
      <c r="AF380" s="60"/>
      <c r="AG380" s="60"/>
      <c r="AH380" s="63"/>
      <c r="AI380" s="62">
        <v>150000000</v>
      </c>
      <c r="AJ380" s="60"/>
      <c r="AK380" s="60"/>
      <c r="AL380" s="60"/>
      <c r="AM380" s="60"/>
      <c r="AN380" s="60"/>
      <c r="AO380" s="63"/>
      <c r="AP380" s="62">
        <v>150000000</v>
      </c>
      <c r="AQ380" s="60"/>
      <c r="AR380" s="60"/>
      <c r="AS380" s="60"/>
      <c r="AT380" s="60"/>
      <c r="AU380" s="60"/>
      <c r="AV380" s="64"/>
      <c r="AW380" s="55">
        <f t="shared" si="28"/>
        <v>100000000</v>
      </c>
      <c r="AX380" s="55">
        <f t="shared" si="29"/>
        <v>400000000</v>
      </c>
      <c r="AY380" s="55">
        <f t="shared" si="30"/>
        <v>150000000</v>
      </c>
      <c r="AZ380" s="55">
        <f t="shared" si="31"/>
        <v>150000000</v>
      </c>
      <c r="BA380" s="55">
        <f t="shared" si="32"/>
        <v>800000000</v>
      </c>
      <c r="BB380" s="32"/>
      <c r="BC380" s="32"/>
      <c r="BD380" s="32"/>
      <c r="BE380" s="32"/>
      <c r="BF380" s="32"/>
      <c r="BG380" s="32"/>
      <c r="BH380" s="32"/>
      <c r="BI380" s="32"/>
      <c r="BJ380" s="32"/>
      <c r="BK380" s="32"/>
      <c r="BL380" s="32"/>
      <c r="BM380" s="32"/>
      <c r="BN380" s="32"/>
      <c r="BO380" s="32"/>
      <c r="BP380" s="32"/>
      <c r="BQ380" s="32"/>
      <c r="BR380" s="32"/>
      <c r="BS380" s="32"/>
      <c r="BT380" s="32"/>
      <c r="BU380" s="32"/>
      <c r="BV380" s="32"/>
      <c r="BW380" s="32"/>
      <c r="BX380" s="32"/>
      <c r="BY380" s="32"/>
      <c r="BZ380" s="32"/>
      <c r="CA380" s="32"/>
      <c r="CB380" s="32"/>
      <c r="CC380" s="32"/>
      <c r="CD380" s="32"/>
      <c r="CE380" s="32"/>
      <c r="CF380" s="32"/>
      <c r="CG380" s="32"/>
      <c r="CH380" s="32"/>
      <c r="CI380" s="32"/>
      <c r="CJ380" s="32"/>
      <c r="CK380" s="32"/>
      <c r="CL380" s="32"/>
      <c r="CM380" s="32"/>
      <c r="CN380" s="32"/>
      <c r="CO380" s="32"/>
      <c r="CP380" s="32"/>
      <c r="CQ380" s="32"/>
      <c r="CR380" s="32"/>
      <c r="CS380" s="32"/>
      <c r="CT380" s="32"/>
      <c r="CU380" s="32"/>
      <c r="CV380" s="32"/>
      <c r="CW380" s="32"/>
      <c r="CX380" s="32"/>
      <c r="CY380" s="32"/>
      <c r="CZ380" s="32"/>
      <c r="DA380" s="32"/>
      <c r="DB380" s="32"/>
      <c r="DC380" s="32"/>
      <c r="DD380" s="32"/>
      <c r="DE380" s="32"/>
      <c r="DF380" s="32"/>
      <c r="DG380" s="32"/>
      <c r="DH380" s="32"/>
      <c r="DI380" s="32"/>
      <c r="DJ380" s="32"/>
      <c r="DK380" s="32"/>
      <c r="DL380" s="32"/>
      <c r="DM380" s="32"/>
      <c r="DN380" s="32"/>
      <c r="DO380" s="32"/>
      <c r="DP380" s="32"/>
      <c r="DQ380" s="32"/>
      <c r="DR380" s="32"/>
      <c r="DS380" s="32"/>
      <c r="DT380" s="32"/>
      <c r="DU380" s="32"/>
      <c r="DV380" s="32"/>
      <c r="DW380" s="32"/>
      <c r="DX380" s="32"/>
      <c r="DY380" s="32"/>
      <c r="DZ380" s="32"/>
      <c r="EA380" s="32"/>
      <c r="EB380" s="32"/>
      <c r="EC380" s="32"/>
    </row>
    <row r="381" spans="1:133" s="13" customFormat="1" ht="110.25" x14ac:dyDescent="0.25">
      <c r="A381" s="130" t="s">
        <v>533</v>
      </c>
      <c r="B381" s="132" t="s">
        <v>745</v>
      </c>
      <c r="C381" s="118" t="s">
        <v>764</v>
      </c>
      <c r="D381" s="127" t="s">
        <v>765</v>
      </c>
      <c r="E381" s="127" t="s">
        <v>766</v>
      </c>
      <c r="F381" s="127" t="s">
        <v>767</v>
      </c>
      <c r="G381" s="122" t="s">
        <v>774</v>
      </c>
      <c r="H381" s="122" t="s">
        <v>1511</v>
      </c>
      <c r="I381" s="103" t="s">
        <v>777</v>
      </c>
      <c r="J381" s="103" t="s">
        <v>1682</v>
      </c>
      <c r="K381" s="57" t="s">
        <v>41</v>
      </c>
      <c r="L381" s="179">
        <v>100</v>
      </c>
      <c r="M381" s="56" t="s">
        <v>776</v>
      </c>
      <c r="N381" s="56" t="s">
        <v>369</v>
      </c>
      <c r="O381" s="54" t="s">
        <v>193</v>
      </c>
      <c r="P381" s="58" t="s">
        <v>39</v>
      </c>
      <c r="Q381" s="171" t="s">
        <v>1679</v>
      </c>
      <c r="R381" s="182">
        <v>10</v>
      </c>
      <c r="S381" s="178">
        <v>30</v>
      </c>
      <c r="T381" s="178">
        <v>60</v>
      </c>
      <c r="U381" s="183">
        <v>100</v>
      </c>
      <c r="V381" s="59">
        <v>100000000</v>
      </c>
      <c r="W381" s="60"/>
      <c r="X381" s="60"/>
      <c r="Y381" s="60"/>
      <c r="Z381" s="60"/>
      <c r="AA381" s="61"/>
      <c r="AB381" s="62">
        <v>2000000000</v>
      </c>
      <c r="AC381" s="60"/>
      <c r="AD381" s="60"/>
      <c r="AE381" s="60"/>
      <c r="AF381" s="60"/>
      <c r="AG381" s="60"/>
      <c r="AH381" s="63"/>
      <c r="AI381" s="62">
        <v>500000000</v>
      </c>
      <c r="AJ381" s="60"/>
      <c r="AK381" s="60"/>
      <c r="AL381" s="60"/>
      <c r="AM381" s="60"/>
      <c r="AN381" s="60"/>
      <c r="AO381" s="63"/>
      <c r="AP381" s="62">
        <v>500000000</v>
      </c>
      <c r="AQ381" s="60"/>
      <c r="AR381" s="60"/>
      <c r="AS381" s="60"/>
      <c r="AT381" s="60"/>
      <c r="AU381" s="60"/>
      <c r="AV381" s="64"/>
      <c r="AW381" s="55">
        <f t="shared" si="28"/>
        <v>100000000</v>
      </c>
      <c r="AX381" s="55">
        <f t="shared" si="29"/>
        <v>2000000000</v>
      </c>
      <c r="AY381" s="55">
        <f t="shared" si="30"/>
        <v>500000000</v>
      </c>
      <c r="AZ381" s="55">
        <f t="shared" si="31"/>
        <v>500000000</v>
      </c>
      <c r="BA381" s="55">
        <f t="shared" si="32"/>
        <v>3100000000</v>
      </c>
      <c r="BB381" s="32"/>
      <c r="BC381" s="32"/>
      <c r="BD381" s="32"/>
      <c r="BE381" s="32"/>
      <c r="BF381" s="32"/>
      <c r="BG381" s="32"/>
      <c r="BH381" s="32"/>
      <c r="BI381" s="32"/>
      <c r="BJ381" s="32"/>
      <c r="BK381" s="32"/>
      <c r="BL381" s="32"/>
      <c r="BM381" s="32"/>
      <c r="BN381" s="32"/>
      <c r="BO381" s="32"/>
      <c r="BP381" s="32"/>
      <c r="BQ381" s="32"/>
      <c r="BR381" s="32"/>
      <c r="BS381" s="32"/>
      <c r="BT381" s="32"/>
      <c r="BU381" s="32"/>
      <c r="BV381" s="32"/>
      <c r="BW381" s="32"/>
      <c r="BX381" s="32"/>
      <c r="BY381" s="32"/>
      <c r="BZ381" s="32"/>
      <c r="CA381" s="32"/>
      <c r="CB381" s="32"/>
      <c r="CC381" s="32"/>
      <c r="CD381" s="32"/>
      <c r="CE381" s="32"/>
      <c r="CF381" s="32"/>
      <c r="CG381" s="32"/>
      <c r="CH381" s="32"/>
      <c r="CI381" s="32"/>
      <c r="CJ381" s="32"/>
      <c r="CK381" s="32"/>
      <c r="CL381" s="32"/>
      <c r="CM381" s="32"/>
      <c r="CN381" s="32"/>
      <c r="CO381" s="32"/>
      <c r="CP381" s="32"/>
      <c r="CQ381" s="32"/>
      <c r="CR381" s="32"/>
      <c r="CS381" s="32"/>
      <c r="CT381" s="32"/>
      <c r="CU381" s="32"/>
      <c r="CV381" s="32"/>
      <c r="CW381" s="32"/>
      <c r="CX381" s="32"/>
      <c r="CY381" s="32"/>
      <c r="CZ381" s="32"/>
      <c r="DA381" s="32"/>
      <c r="DB381" s="32"/>
      <c r="DC381" s="32"/>
      <c r="DD381" s="32"/>
      <c r="DE381" s="32"/>
      <c r="DF381" s="32"/>
      <c r="DG381" s="32"/>
      <c r="DH381" s="32"/>
      <c r="DI381" s="32"/>
      <c r="DJ381" s="32"/>
      <c r="DK381" s="32"/>
      <c r="DL381" s="32"/>
      <c r="DM381" s="32"/>
      <c r="DN381" s="32"/>
      <c r="DO381" s="32"/>
      <c r="DP381" s="32"/>
      <c r="DQ381" s="32"/>
      <c r="DR381" s="32"/>
      <c r="DS381" s="32"/>
      <c r="DT381" s="32"/>
      <c r="DU381" s="32"/>
      <c r="DV381" s="32"/>
      <c r="DW381" s="32"/>
      <c r="DX381" s="32"/>
      <c r="DY381" s="32"/>
      <c r="DZ381" s="32"/>
      <c r="EA381" s="32"/>
      <c r="EB381" s="32"/>
      <c r="EC381" s="32"/>
    </row>
    <row r="382" spans="1:133" s="13" customFormat="1" ht="110.25" x14ac:dyDescent="0.25">
      <c r="A382" s="130" t="s">
        <v>533</v>
      </c>
      <c r="B382" s="132" t="s">
        <v>745</v>
      </c>
      <c r="C382" s="118" t="s">
        <v>764</v>
      </c>
      <c r="D382" s="127" t="s">
        <v>765</v>
      </c>
      <c r="E382" s="127" t="s">
        <v>766</v>
      </c>
      <c r="F382" s="127" t="s">
        <v>767</v>
      </c>
      <c r="G382" s="122" t="s">
        <v>774</v>
      </c>
      <c r="H382" s="122" t="s">
        <v>1512</v>
      </c>
      <c r="I382" s="103" t="s">
        <v>778</v>
      </c>
      <c r="J382" s="103" t="s">
        <v>1683</v>
      </c>
      <c r="K382" s="86">
        <v>4</v>
      </c>
      <c r="L382" s="86">
        <v>8</v>
      </c>
      <c r="M382" s="56" t="s">
        <v>776</v>
      </c>
      <c r="N382" s="56" t="s">
        <v>369</v>
      </c>
      <c r="O382" s="54" t="s">
        <v>193</v>
      </c>
      <c r="P382" s="58" t="s">
        <v>1677</v>
      </c>
      <c r="Q382" s="171" t="s">
        <v>1680</v>
      </c>
      <c r="R382" s="182">
        <v>1</v>
      </c>
      <c r="S382" s="178">
        <v>1</v>
      </c>
      <c r="T382" s="178">
        <v>1</v>
      </c>
      <c r="U382" s="183">
        <v>1</v>
      </c>
      <c r="V382" s="59">
        <v>160000000</v>
      </c>
      <c r="W382" s="60"/>
      <c r="X382" s="60"/>
      <c r="Y382" s="60"/>
      <c r="Z382" s="60"/>
      <c r="AA382" s="61"/>
      <c r="AB382" s="62">
        <v>1300000000</v>
      </c>
      <c r="AC382" s="60"/>
      <c r="AD382" s="60"/>
      <c r="AE382" s="60"/>
      <c r="AF382" s="60"/>
      <c r="AG382" s="60"/>
      <c r="AH382" s="63"/>
      <c r="AI382" s="62">
        <v>670000000</v>
      </c>
      <c r="AJ382" s="60"/>
      <c r="AK382" s="60"/>
      <c r="AL382" s="60"/>
      <c r="AM382" s="60"/>
      <c r="AN382" s="60"/>
      <c r="AO382" s="63"/>
      <c r="AP382" s="62">
        <v>270000000</v>
      </c>
      <c r="AQ382" s="60"/>
      <c r="AR382" s="60"/>
      <c r="AS382" s="60"/>
      <c r="AT382" s="60"/>
      <c r="AU382" s="60"/>
      <c r="AV382" s="64"/>
      <c r="AW382" s="55">
        <f t="shared" si="28"/>
        <v>160000000</v>
      </c>
      <c r="AX382" s="55">
        <f t="shared" si="29"/>
        <v>1300000000</v>
      </c>
      <c r="AY382" s="55">
        <f t="shared" si="30"/>
        <v>670000000</v>
      </c>
      <c r="AZ382" s="55">
        <f t="shared" si="31"/>
        <v>270000000</v>
      </c>
      <c r="BA382" s="55">
        <f t="shared" si="32"/>
        <v>2400000000</v>
      </c>
      <c r="BB382" s="32"/>
      <c r="BC382" s="32"/>
      <c r="BD382" s="32"/>
      <c r="BE382" s="32"/>
      <c r="BF382" s="32"/>
      <c r="BG382" s="32"/>
      <c r="BH382" s="32"/>
      <c r="BI382" s="32"/>
      <c r="BJ382" s="32"/>
      <c r="BK382" s="32"/>
      <c r="BL382" s="32"/>
      <c r="BM382" s="32"/>
      <c r="BN382" s="32"/>
      <c r="BO382" s="32"/>
      <c r="BP382" s="32"/>
      <c r="BQ382" s="32"/>
      <c r="BR382" s="32"/>
      <c r="BS382" s="32"/>
      <c r="BT382" s="32"/>
      <c r="BU382" s="32"/>
      <c r="BV382" s="32"/>
      <c r="BW382" s="32"/>
      <c r="BX382" s="32"/>
      <c r="BY382" s="32"/>
      <c r="BZ382" s="32"/>
      <c r="CA382" s="32"/>
      <c r="CB382" s="32"/>
      <c r="CC382" s="32"/>
      <c r="CD382" s="32"/>
      <c r="CE382" s="32"/>
      <c r="CF382" s="32"/>
      <c r="CG382" s="32"/>
      <c r="CH382" s="32"/>
      <c r="CI382" s="32"/>
      <c r="CJ382" s="32"/>
      <c r="CK382" s="32"/>
      <c r="CL382" s="32"/>
      <c r="CM382" s="32"/>
      <c r="CN382" s="32"/>
      <c r="CO382" s="32"/>
      <c r="CP382" s="32"/>
      <c r="CQ382" s="32"/>
      <c r="CR382" s="32"/>
      <c r="CS382" s="32"/>
      <c r="CT382" s="32"/>
      <c r="CU382" s="32"/>
      <c r="CV382" s="32"/>
      <c r="CW382" s="32"/>
      <c r="CX382" s="32"/>
      <c r="CY382" s="32"/>
      <c r="CZ382" s="32"/>
      <c r="DA382" s="32"/>
      <c r="DB382" s="32"/>
      <c r="DC382" s="32"/>
      <c r="DD382" s="32"/>
      <c r="DE382" s="32"/>
      <c r="DF382" s="32"/>
      <c r="DG382" s="32"/>
      <c r="DH382" s="32"/>
      <c r="DI382" s="32"/>
      <c r="DJ382" s="32"/>
      <c r="DK382" s="32"/>
      <c r="DL382" s="32"/>
      <c r="DM382" s="32"/>
      <c r="DN382" s="32"/>
      <c r="DO382" s="32"/>
      <c r="DP382" s="32"/>
      <c r="DQ382" s="32"/>
      <c r="DR382" s="32"/>
      <c r="DS382" s="32"/>
      <c r="DT382" s="32"/>
      <c r="DU382" s="32"/>
      <c r="DV382" s="32"/>
      <c r="DW382" s="32"/>
      <c r="DX382" s="32"/>
      <c r="DY382" s="32"/>
      <c r="DZ382" s="32"/>
      <c r="EA382" s="32"/>
      <c r="EB382" s="32"/>
      <c r="EC382" s="32"/>
    </row>
    <row r="383" spans="1:133" s="13" customFormat="1" ht="110.25" x14ac:dyDescent="0.25">
      <c r="A383" s="130" t="s">
        <v>533</v>
      </c>
      <c r="B383" s="132" t="s">
        <v>745</v>
      </c>
      <c r="C383" s="118" t="s">
        <v>764</v>
      </c>
      <c r="D383" s="127" t="s">
        <v>765</v>
      </c>
      <c r="E383" s="127" t="s">
        <v>766</v>
      </c>
      <c r="F383" s="127" t="s">
        <v>767</v>
      </c>
      <c r="G383" s="122" t="s">
        <v>774</v>
      </c>
      <c r="H383" s="122" t="s">
        <v>1513</v>
      </c>
      <c r="I383" s="103" t="s">
        <v>779</v>
      </c>
      <c r="J383" s="103" t="s">
        <v>1683</v>
      </c>
      <c r="K383" s="86">
        <v>8</v>
      </c>
      <c r="L383" s="86">
        <v>20</v>
      </c>
      <c r="M383" s="56" t="s">
        <v>776</v>
      </c>
      <c r="N383" s="56" t="s">
        <v>369</v>
      </c>
      <c r="O383" s="54" t="s">
        <v>193</v>
      </c>
      <c r="P383" s="58" t="s">
        <v>39</v>
      </c>
      <c r="Q383" s="171" t="s">
        <v>1680</v>
      </c>
      <c r="R383" s="182">
        <v>5</v>
      </c>
      <c r="S383" s="178">
        <v>5</v>
      </c>
      <c r="T383" s="178">
        <v>5</v>
      </c>
      <c r="U383" s="183">
        <v>5</v>
      </c>
      <c r="V383" s="59">
        <v>172000000</v>
      </c>
      <c r="W383" s="60"/>
      <c r="X383" s="60"/>
      <c r="Y383" s="60"/>
      <c r="Z383" s="60"/>
      <c r="AA383" s="61"/>
      <c r="AB383" s="62">
        <v>414000000</v>
      </c>
      <c r="AC383" s="60"/>
      <c r="AD383" s="60"/>
      <c r="AE383" s="60"/>
      <c r="AF383" s="60"/>
      <c r="AG383" s="60"/>
      <c r="AH383" s="63"/>
      <c r="AI383" s="62">
        <v>414000000</v>
      </c>
      <c r="AJ383" s="60"/>
      <c r="AK383" s="60"/>
      <c r="AL383" s="60"/>
      <c r="AM383" s="60"/>
      <c r="AN383" s="60"/>
      <c r="AO383" s="63"/>
      <c r="AP383" s="62">
        <v>100000000</v>
      </c>
      <c r="AQ383" s="60"/>
      <c r="AR383" s="60"/>
      <c r="AS383" s="60"/>
      <c r="AT383" s="60"/>
      <c r="AU383" s="60"/>
      <c r="AV383" s="64"/>
      <c r="AW383" s="55">
        <f t="shared" si="28"/>
        <v>172000000</v>
      </c>
      <c r="AX383" s="55">
        <f t="shared" si="29"/>
        <v>414000000</v>
      </c>
      <c r="AY383" s="55">
        <f t="shared" si="30"/>
        <v>414000000</v>
      </c>
      <c r="AZ383" s="55">
        <f t="shared" si="31"/>
        <v>100000000</v>
      </c>
      <c r="BA383" s="55">
        <f t="shared" si="32"/>
        <v>1100000000</v>
      </c>
      <c r="BB383" s="32"/>
      <c r="BC383" s="32"/>
      <c r="BD383" s="32"/>
      <c r="BE383" s="32"/>
      <c r="BF383" s="32"/>
      <c r="BG383" s="32"/>
      <c r="BH383" s="32"/>
      <c r="BI383" s="32"/>
      <c r="BJ383" s="32"/>
      <c r="BK383" s="32"/>
      <c r="BL383" s="32"/>
      <c r="BM383" s="32"/>
      <c r="BN383" s="32"/>
      <c r="BO383" s="32"/>
      <c r="BP383" s="32"/>
      <c r="BQ383" s="32"/>
      <c r="BR383" s="32"/>
      <c r="BS383" s="32"/>
      <c r="BT383" s="32"/>
      <c r="BU383" s="32"/>
      <c r="BV383" s="32"/>
      <c r="BW383" s="32"/>
      <c r="BX383" s="32"/>
      <c r="BY383" s="32"/>
      <c r="BZ383" s="32"/>
      <c r="CA383" s="32"/>
      <c r="CB383" s="32"/>
      <c r="CC383" s="32"/>
      <c r="CD383" s="32"/>
      <c r="CE383" s="32"/>
      <c r="CF383" s="32"/>
      <c r="CG383" s="32"/>
      <c r="CH383" s="32"/>
      <c r="CI383" s="32"/>
      <c r="CJ383" s="32"/>
      <c r="CK383" s="32"/>
      <c r="CL383" s="32"/>
      <c r="CM383" s="32"/>
      <c r="CN383" s="32"/>
      <c r="CO383" s="32"/>
      <c r="CP383" s="32"/>
      <c r="CQ383" s="32"/>
      <c r="CR383" s="32"/>
      <c r="CS383" s="32"/>
      <c r="CT383" s="32"/>
      <c r="CU383" s="32"/>
      <c r="CV383" s="32"/>
      <c r="CW383" s="32"/>
      <c r="CX383" s="32"/>
      <c r="CY383" s="32"/>
      <c r="CZ383" s="32"/>
      <c r="DA383" s="32"/>
      <c r="DB383" s="32"/>
      <c r="DC383" s="32"/>
      <c r="DD383" s="32"/>
      <c r="DE383" s="32"/>
      <c r="DF383" s="32"/>
      <c r="DG383" s="32"/>
      <c r="DH383" s="32"/>
      <c r="DI383" s="32"/>
      <c r="DJ383" s="32"/>
      <c r="DK383" s="32"/>
      <c r="DL383" s="32"/>
      <c r="DM383" s="32"/>
      <c r="DN383" s="32"/>
      <c r="DO383" s="32"/>
      <c r="DP383" s="32"/>
      <c r="DQ383" s="32"/>
      <c r="DR383" s="32"/>
      <c r="DS383" s="32"/>
      <c r="DT383" s="32"/>
      <c r="DU383" s="32"/>
      <c r="DV383" s="32"/>
      <c r="DW383" s="32"/>
      <c r="DX383" s="32"/>
      <c r="DY383" s="32"/>
      <c r="DZ383" s="32"/>
      <c r="EA383" s="32"/>
      <c r="EB383" s="32"/>
      <c r="EC383" s="32"/>
    </row>
    <row r="384" spans="1:133" s="13" customFormat="1" ht="110.25" x14ac:dyDescent="0.25">
      <c r="A384" s="130" t="s">
        <v>533</v>
      </c>
      <c r="B384" s="132" t="s">
        <v>745</v>
      </c>
      <c r="C384" s="118" t="s">
        <v>764</v>
      </c>
      <c r="D384" s="127" t="s">
        <v>765</v>
      </c>
      <c r="E384" s="127" t="s">
        <v>766</v>
      </c>
      <c r="F384" s="127" t="s">
        <v>767</v>
      </c>
      <c r="G384" s="104" t="s">
        <v>780</v>
      </c>
      <c r="H384" s="104" t="s">
        <v>1514</v>
      </c>
      <c r="I384" s="103" t="s">
        <v>781</v>
      </c>
      <c r="J384" s="103" t="s">
        <v>1683</v>
      </c>
      <c r="K384" s="56">
        <v>0</v>
      </c>
      <c r="L384" s="86">
        <v>3</v>
      </c>
      <c r="M384" s="56" t="s">
        <v>776</v>
      </c>
      <c r="N384" s="56" t="s">
        <v>369</v>
      </c>
      <c r="O384" s="54" t="s">
        <v>193</v>
      </c>
      <c r="P384" s="58" t="s">
        <v>39</v>
      </c>
      <c r="Q384" s="171" t="s">
        <v>1680</v>
      </c>
      <c r="R384" s="182">
        <v>0</v>
      </c>
      <c r="S384" s="178">
        <v>1</v>
      </c>
      <c r="T384" s="178">
        <v>1</v>
      </c>
      <c r="U384" s="183">
        <v>1</v>
      </c>
      <c r="V384" s="59">
        <v>0</v>
      </c>
      <c r="W384" s="60"/>
      <c r="X384" s="60"/>
      <c r="Y384" s="60"/>
      <c r="Z384" s="60"/>
      <c r="AA384" s="61"/>
      <c r="AB384" s="62">
        <v>4500000000</v>
      </c>
      <c r="AC384" s="60"/>
      <c r="AD384" s="60"/>
      <c r="AE384" s="60"/>
      <c r="AF384" s="60"/>
      <c r="AG384" s="60"/>
      <c r="AH384" s="63"/>
      <c r="AI384" s="62">
        <v>2500000000</v>
      </c>
      <c r="AJ384" s="60"/>
      <c r="AK384" s="60"/>
      <c r="AL384" s="60"/>
      <c r="AM384" s="60"/>
      <c r="AN384" s="60"/>
      <c r="AO384" s="63"/>
      <c r="AP384" s="62">
        <v>2500000000</v>
      </c>
      <c r="AQ384" s="60"/>
      <c r="AR384" s="60"/>
      <c r="AS384" s="60"/>
      <c r="AT384" s="60"/>
      <c r="AU384" s="60"/>
      <c r="AV384" s="64"/>
      <c r="AW384" s="55">
        <f t="shared" si="28"/>
        <v>0</v>
      </c>
      <c r="AX384" s="55">
        <f t="shared" si="29"/>
        <v>4500000000</v>
      </c>
      <c r="AY384" s="55">
        <f t="shared" si="30"/>
        <v>2500000000</v>
      </c>
      <c r="AZ384" s="55">
        <f t="shared" si="31"/>
        <v>2500000000</v>
      </c>
      <c r="BA384" s="55">
        <f t="shared" si="32"/>
        <v>9500000000</v>
      </c>
      <c r="BB384" s="32"/>
      <c r="BC384" s="32"/>
      <c r="BD384" s="32"/>
      <c r="BE384" s="32"/>
      <c r="BF384" s="32"/>
      <c r="BG384" s="32"/>
      <c r="BH384" s="32"/>
      <c r="BI384" s="32"/>
      <c r="BJ384" s="32"/>
      <c r="BK384" s="32"/>
      <c r="BL384" s="32"/>
      <c r="BM384" s="32"/>
      <c r="BN384" s="32"/>
      <c r="BO384" s="32"/>
      <c r="BP384" s="32"/>
      <c r="BQ384" s="32"/>
      <c r="BR384" s="32"/>
      <c r="BS384" s="32"/>
      <c r="BT384" s="32"/>
      <c r="BU384" s="32"/>
      <c r="BV384" s="32"/>
      <c r="BW384" s="32"/>
      <c r="BX384" s="32"/>
      <c r="BY384" s="32"/>
      <c r="BZ384" s="32"/>
      <c r="CA384" s="32"/>
      <c r="CB384" s="32"/>
      <c r="CC384" s="32"/>
      <c r="CD384" s="32"/>
      <c r="CE384" s="32"/>
      <c r="CF384" s="32"/>
      <c r="CG384" s="32"/>
      <c r="CH384" s="32"/>
      <c r="CI384" s="32"/>
      <c r="CJ384" s="32"/>
      <c r="CK384" s="32"/>
      <c r="CL384" s="32"/>
      <c r="CM384" s="32"/>
      <c r="CN384" s="32"/>
      <c r="CO384" s="32"/>
      <c r="CP384" s="32"/>
      <c r="CQ384" s="32"/>
      <c r="CR384" s="32"/>
      <c r="CS384" s="32"/>
      <c r="CT384" s="32"/>
      <c r="CU384" s="32"/>
      <c r="CV384" s="32"/>
      <c r="CW384" s="32"/>
      <c r="CX384" s="32"/>
      <c r="CY384" s="32"/>
      <c r="CZ384" s="32"/>
      <c r="DA384" s="32"/>
      <c r="DB384" s="32"/>
      <c r="DC384" s="32"/>
      <c r="DD384" s="32"/>
      <c r="DE384" s="32"/>
      <c r="DF384" s="32"/>
      <c r="DG384" s="32"/>
      <c r="DH384" s="32"/>
      <c r="DI384" s="32"/>
      <c r="DJ384" s="32"/>
      <c r="DK384" s="32"/>
      <c r="DL384" s="32"/>
      <c r="DM384" s="32"/>
      <c r="DN384" s="32"/>
      <c r="DO384" s="32"/>
      <c r="DP384" s="32"/>
      <c r="DQ384" s="32"/>
      <c r="DR384" s="32"/>
      <c r="DS384" s="32"/>
      <c r="DT384" s="32"/>
      <c r="DU384" s="32"/>
      <c r="DV384" s="32"/>
      <c r="DW384" s="32"/>
      <c r="DX384" s="32"/>
      <c r="DY384" s="32"/>
      <c r="DZ384" s="32"/>
      <c r="EA384" s="32"/>
      <c r="EB384" s="32"/>
      <c r="EC384" s="32"/>
    </row>
    <row r="385" spans="1:133" s="13" customFormat="1" ht="110.25" x14ac:dyDescent="0.25">
      <c r="A385" s="130" t="s">
        <v>533</v>
      </c>
      <c r="B385" s="132" t="s">
        <v>745</v>
      </c>
      <c r="C385" s="118" t="s">
        <v>764</v>
      </c>
      <c r="D385" s="127" t="s">
        <v>765</v>
      </c>
      <c r="E385" s="127" t="s">
        <v>766</v>
      </c>
      <c r="F385" s="127" t="s">
        <v>767</v>
      </c>
      <c r="G385" s="122" t="s">
        <v>782</v>
      </c>
      <c r="H385" s="122" t="s">
        <v>1515</v>
      </c>
      <c r="I385" s="103" t="s">
        <v>783</v>
      </c>
      <c r="J385" s="103" t="s">
        <v>1682</v>
      </c>
      <c r="K385" s="178">
        <v>90</v>
      </c>
      <c r="L385" s="179">
        <v>90</v>
      </c>
      <c r="M385" s="56" t="s">
        <v>784</v>
      </c>
      <c r="N385" s="56" t="s">
        <v>369</v>
      </c>
      <c r="O385" s="54" t="s">
        <v>193</v>
      </c>
      <c r="P385" s="58" t="s">
        <v>42</v>
      </c>
      <c r="Q385" s="54" t="s">
        <v>1679</v>
      </c>
      <c r="R385" s="182">
        <v>90</v>
      </c>
      <c r="S385" s="178">
        <v>90</v>
      </c>
      <c r="T385" s="178">
        <v>90</v>
      </c>
      <c r="U385" s="183">
        <v>90</v>
      </c>
      <c r="V385" s="59">
        <f>10973400000/2</f>
        <v>5486700000</v>
      </c>
      <c r="W385" s="60"/>
      <c r="X385" s="60"/>
      <c r="Y385" s="60"/>
      <c r="Z385" s="60"/>
      <c r="AA385" s="61"/>
      <c r="AB385" s="59">
        <f>10973400000/2</f>
        <v>5486700000</v>
      </c>
      <c r="AC385" s="60"/>
      <c r="AD385" s="60"/>
      <c r="AE385" s="60"/>
      <c r="AF385" s="60"/>
      <c r="AG385" s="60"/>
      <c r="AH385" s="63"/>
      <c r="AI385" s="59">
        <f>10973400000/2</f>
        <v>5486700000</v>
      </c>
      <c r="AJ385" s="60"/>
      <c r="AK385" s="60"/>
      <c r="AL385" s="60"/>
      <c r="AM385" s="60"/>
      <c r="AN385" s="60"/>
      <c r="AO385" s="63"/>
      <c r="AP385" s="59">
        <f>10973400000/2</f>
        <v>5486700000</v>
      </c>
      <c r="AQ385" s="60"/>
      <c r="AR385" s="60"/>
      <c r="AS385" s="60"/>
      <c r="AT385" s="60"/>
      <c r="AU385" s="60"/>
      <c r="AV385" s="64"/>
      <c r="AW385" s="55">
        <f t="shared" si="28"/>
        <v>5486700000</v>
      </c>
      <c r="AX385" s="55">
        <f t="shared" si="29"/>
        <v>5486700000</v>
      </c>
      <c r="AY385" s="55">
        <f t="shared" si="30"/>
        <v>5486700000</v>
      </c>
      <c r="AZ385" s="55">
        <f t="shared" si="31"/>
        <v>5486700000</v>
      </c>
      <c r="BA385" s="55">
        <f t="shared" si="32"/>
        <v>21946800000</v>
      </c>
      <c r="BB385" s="32"/>
      <c r="BC385" s="32"/>
      <c r="BD385" s="32"/>
      <c r="BE385" s="32"/>
      <c r="BF385" s="32"/>
      <c r="BG385" s="32"/>
      <c r="BH385" s="32"/>
      <c r="BI385" s="32"/>
      <c r="BJ385" s="32"/>
      <c r="BK385" s="32"/>
      <c r="BL385" s="32"/>
      <c r="BM385" s="32"/>
      <c r="BN385" s="32"/>
      <c r="BO385" s="32"/>
      <c r="BP385" s="32"/>
      <c r="BQ385" s="32"/>
      <c r="BR385" s="32"/>
      <c r="BS385" s="32"/>
      <c r="BT385" s="32"/>
      <c r="BU385" s="32"/>
      <c r="BV385" s="32"/>
      <c r="BW385" s="32"/>
      <c r="BX385" s="32"/>
      <c r="BY385" s="32"/>
      <c r="BZ385" s="32"/>
      <c r="CA385" s="32"/>
      <c r="CB385" s="32"/>
      <c r="CC385" s="32"/>
      <c r="CD385" s="32"/>
      <c r="CE385" s="32"/>
      <c r="CF385" s="32"/>
      <c r="CG385" s="32"/>
      <c r="CH385" s="32"/>
      <c r="CI385" s="32"/>
      <c r="CJ385" s="32"/>
      <c r="CK385" s="32"/>
      <c r="CL385" s="32"/>
      <c r="CM385" s="32"/>
      <c r="CN385" s="32"/>
      <c r="CO385" s="32"/>
      <c r="CP385" s="32"/>
      <c r="CQ385" s="32"/>
      <c r="CR385" s="32"/>
      <c r="CS385" s="32"/>
      <c r="CT385" s="32"/>
      <c r="CU385" s="32"/>
      <c r="CV385" s="32"/>
      <c r="CW385" s="32"/>
      <c r="CX385" s="32"/>
      <c r="CY385" s="32"/>
      <c r="CZ385" s="32"/>
      <c r="DA385" s="32"/>
      <c r="DB385" s="32"/>
      <c r="DC385" s="32"/>
      <c r="DD385" s="32"/>
      <c r="DE385" s="32"/>
      <c r="DF385" s="32"/>
      <c r="DG385" s="32"/>
      <c r="DH385" s="32"/>
      <c r="DI385" s="32"/>
      <c r="DJ385" s="32"/>
      <c r="DK385" s="32"/>
      <c r="DL385" s="32"/>
      <c r="DM385" s="32"/>
      <c r="DN385" s="32"/>
      <c r="DO385" s="32"/>
      <c r="DP385" s="32"/>
      <c r="DQ385" s="32"/>
      <c r="DR385" s="32"/>
      <c r="DS385" s="32"/>
      <c r="DT385" s="32"/>
      <c r="DU385" s="32"/>
      <c r="DV385" s="32"/>
      <c r="DW385" s="32"/>
      <c r="DX385" s="32"/>
      <c r="DY385" s="32"/>
      <c r="DZ385" s="32"/>
      <c r="EA385" s="32"/>
      <c r="EB385" s="32"/>
      <c r="EC385" s="32"/>
    </row>
    <row r="386" spans="1:133" s="13" customFormat="1" ht="110.25" x14ac:dyDescent="0.25">
      <c r="A386" s="130" t="s">
        <v>533</v>
      </c>
      <c r="B386" s="132" t="s">
        <v>745</v>
      </c>
      <c r="C386" s="118" t="s">
        <v>764</v>
      </c>
      <c r="D386" s="127" t="s">
        <v>765</v>
      </c>
      <c r="E386" s="127" t="s">
        <v>766</v>
      </c>
      <c r="F386" s="127" t="s">
        <v>767</v>
      </c>
      <c r="G386" s="122" t="s">
        <v>782</v>
      </c>
      <c r="H386" s="122" t="s">
        <v>1516</v>
      </c>
      <c r="I386" s="103" t="s">
        <v>785</v>
      </c>
      <c r="J386" s="103" t="s">
        <v>1682</v>
      </c>
      <c r="K386" s="178">
        <v>90</v>
      </c>
      <c r="L386" s="179">
        <v>100</v>
      </c>
      <c r="M386" s="56" t="s">
        <v>784</v>
      </c>
      <c r="N386" s="56" t="s">
        <v>369</v>
      </c>
      <c r="O386" s="54" t="s">
        <v>193</v>
      </c>
      <c r="P386" s="58" t="s">
        <v>1677</v>
      </c>
      <c r="Q386" s="171" t="s">
        <v>1679</v>
      </c>
      <c r="R386" s="182">
        <v>90</v>
      </c>
      <c r="S386" s="178">
        <v>92</v>
      </c>
      <c r="T386" s="178">
        <v>97</v>
      </c>
      <c r="U386" s="183">
        <v>100</v>
      </c>
      <c r="V386" s="59">
        <f>10973400000/2</f>
        <v>5486700000</v>
      </c>
      <c r="W386" s="60"/>
      <c r="X386" s="60"/>
      <c r="Y386" s="60"/>
      <c r="Z386" s="60"/>
      <c r="AA386" s="61"/>
      <c r="AB386" s="59">
        <f>10973400000/2</f>
        <v>5486700000</v>
      </c>
      <c r="AC386" s="60"/>
      <c r="AD386" s="60"/>
      <c r="AE386" s="60"/>
      <c r="AF386" s="60"/>
      <c r="AG386" s="60"/>
      <c r="AH386" s="63"/>
      <c r="AI386" s="59">
        <f>10973400000/2</f>
        <v>5486700000</v>
      </c>
      <c r="AJ386" s="60"/>
      <c r="AK386" s="60"/>
      <c r="AL386" s="60"/>
      <c r="AM386" s="60"/>
      <c r="AN386" s="60"/>
      <c r="AO386" s="63"/>
      <c r="AP386" s="59">
        <f>10973400000/2</f>
        <v>5486700000</v>
      </c>
      <c r="AQ386" s="60"/>
      <c r="AR386" s="60"/>
      <c r="AS386" s="60"/>
      <c r="AT386" s="60"/>
      <c r="AU386" s="60"/>
      <c r="AV386" s="64"/>
      <c r="AW386" s="55">
        <f t="shared" si="28"/>
        <v>5486700000</v>
      </c>
      <c r="AX386" s="55">
        <f t="shared" si="29"/>
        <v>5486700000</v>
      </c>
      <c r="AY386" s="55">
        <f t="shared" si="30"/>
        <v>5486700000</v>
      </c>
      <c r="AZ386" s="55">
        <f t="shared" si="31"/>
        <v>5486700000</v>
      </c>
      <c r="BA386" s="55">
        <f t="shared" si="32"/>
        <v>21946800000</v>
      </c>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row>
    <row r="387" spans="1:133" s="13" customFormat="1" ht="110.25" x14ac:dyDescent="0.25">
      <c r="A387" s="130" t="s">
        <v>533</v>
      </c>
      <c r="B387" s="132" t="s">
        <v>745</v>
      </c>
      <c r="C387" s="118" t="s">
        <v>764</v>
      </c>
      <c r="D387" s="127" t="s">
        <v>765</v>
      </c>
      <c r="E387" s="127" t="s">
        <v>766</v>
      </c>
      <c r="F387" s="127" t="s">
        <v>767</v>
      </c>
      <c r="G387" s="122" t="s">
        <v>786</v>
      </c>
      <c r="H387" s="122" t="s">
        <v>1517</v>
      </c>
      <c r="I387" s="103" t="s">
        <v>787</v>
      </c>
      <c r="J387" s="103" t="s">
        <v>1682</v>
      </c>
      <c r="K387" s="178">
        <v>0</v>
      </c>
      <c r="L387" s="179">
        <v>100</v>
      </c>
      <c r="M387" s="56" t="s">
        <v>175</v>
      </c>
      <c r="N387" s="56" t="s">
        <v>369</v>
      </c>
      <c r="O387" s="54" t="s">
        <v>193</v>
      </c>
      <c r="P387" s="58" t="s">
        <v>39</v>
      </c>
      <c r="Q387" s="171" t="s">
        <v>1680</v>
      </c>
      <c r="R387" s="182">
        <v>30</v>
      </c>
      <c r="S387" s="178">
        <v>70</v>
      </c>
      <c r="T387" s="178">
        <v>0</v>
      </c>
      <c r="U387" s="183">
        <v>0</v>
      </c>
      <c r="V387" s="59">
        <v>500000000</v>
      </c>
      <c r="W387" s="60"/>
      <c r="X387" s="60"/>
      <c r="Y387" s="60"/>
      <c r="Z387" s="60"/>
      <c r="AA387" s="61"/>
      <c r="AB387" s="62"/>
      <c r="AC387" s="60"/>
      <c r="AD387" s="60">
        <v>1400000000</v>
      </c>
      <c r="AE387" s="60"/>
      <c r="AF387" s="60"/>
      <c r="AG387" s="60"/>
      <c r="AH387" s="63"/>
      <c r="AI387" s="62"/>
      <c r="AJ387" s="60"/>
      <c r="AK387" s="60"/>
      <c r="AL387" s="60"/>
      <c r="AM387" s="60"/>
      <c r="AN387" s="60"/>
      <c r="AO387" s="63"/>
      <c r="AP387" s="62"/>
      <c r="AQ387" s="60"/>
      <c r="AR387" s="60"/>
      <c r="AS387" s="60"/>
      <c r="AT387" s="60"/>
      <c r="AU387" s="60"/>
      <c r="AV387" s="64"/>
      <c r="AW387" s="55">
        <f t="shared" si="28"/>
        <v>500000000</v>
      </c>
      <c r="AX387" s="55">
        <f t="shared" si="29"/>
        <v>1400000000</v>
      </c>
      <c r="AY387" s="55">
        <f t="shared" si="30"/>
        <v>0</v>
      </c>
      <c r="AZ387" s="55">
        <f t="shared" si="31"/>
        <v>0</v>
      </c>
      <c r="BA387" s="55">
        <f t="shared" si="32"/>
        <v>1900000000</v>
      </c>
      <c r="BB387" s="32"/>
      <c r="BC387" s="32"/>
      <c r="BD387" s="32"/>
      <c r="BE387" s="32"/>
      <c r="BF387" s="32"/>
      <c r="BG387" s="32"/>
      <c r="BH387" s="32"/>
      <c r="BI387" s="32"/>
      <c r="BJ387" s="32"/>
      <c r="BK387" s="32"/>
      <c r="BL387" s="32"/>
      <c r="BM387" s="32"/>
      <c r="BN387" s="32"/>
      <c r="BO387" s="32"/>
      <c r="BP387" s="32"/>
      <c r="BQ387" s="32"/>
      <c r="BR387" s="32"/>
      <c r="BS387" s="32"/>
      <c r="BT387" s="32"/>
      <c r="BU387" s="32"/>
      <c r="BV387" s="32"/>
      <c r="BW387" s="32"/>
      <c r="BX387" s="32"/>
      <c r="BY387" s="32"/>
      <c r="BZ387" s="32"/>
      <c r="CA387" s="32"/>
      <c r="CB387" s="32"/>
      <c r="CC387" s="32"/>
      <c r="CD387" s="32"/>
      <c r="CE387" s="32"/>
      <c r="CF387" s="32"/>
      <c r="CG387" s="32"/>
      <c r="CH387" s="32"/>
      <c r="CI387" s="32"/>
      <c r="CJ387" s="32"/>
      <c r="CK387" s="32"/>
      <c r="CL387" s="32"/>
      <c r="CM387" s="32"/>
      <c r="CN387" s="32"/>
      <c r="CO387" s="32"/>
      <c r="CP387" s="32"/>
      <c r="CQ387" s="32"/>
      <c r="CR387" s="32"/>
      <c r="CS387" s="32"/>
      <c r="CT387" s="32"/>
      <c r="CU387" s="32"/>
      <c r="CV387" s="32"/>
      <c r="CW387" s="32"/>
      <c r="CX387" s="32"/>
      <c r="CY387" s="32"/>
      <c r="CZ387" s="32"/>
      <c r="DA387" s="32"/>
      <c r="DB387" s="32"/>
      <c r="DC387" s="32"/>
      <c r="DD387" s="32"/>
      <c r="DE387" s="32"/>
      <c r="DF387" s="32"/>
      <c r="DG387" s="32"/>
      <c r="DH387" s="32"/>
      <c r="DI387" s="32"/>
      <c r="DJ387" s="32"/>
      <c r="DK387" s="32"/>
      <c r="DL387" s="32"/>
      <c r="DM387" s="32"/>
      <c r="DN387" s="32"/>
      <c r="DO387" s="32"/>
      <c r="DP387" s="32"/>
      <c r="DQ387" s="32"/>
      <c r="DR387" s="32"/>
      <c r="DS387" s="32"/>
      <c r="DT387" s="32"/>
      <c r="DU387" s="32"/>
      <c r="DV387" s="32"/>
      <c r="DW387" s="32"/>
      <c r="DX387" s="32"/>
      <c r="DY387" s="32"/>
      <c r="DZ387" s="32"/>
      <c r="EA387" s="32"/>
      <c r="EB387" s="32"/>
      <c r="EC387" s="32"/>
    </row>
    <row r="388" spans="1:133" s="13" customFormat="1" ht="110.25" x14ac:dyDescent="0.25">
      <c r="A388" s="130" t="s">
        <v>533</v>
      </c>
      <c r="B388" s="132" t="s">
        <v>745</v>
      </c>
      <c r="C388" s="118" t="s">
        <v>764</v>
      </c>
      <c r="D388" s="127" t="s">
        <v>765</v>
      </c>
      <c r="E388" s="127" t="s">
        <v>766</v>
      </c>
      <c r="F388" s="127" t="s">
        <v>767</v>
      </c>
      <c r="G388" s="122" t="s">
        <v>786</v>
      </c>
      <c r="H388" s="122" t="s">
        <v>1518</v>
      </c>
      <c r="I388" s="103" t="s">
        <v>788</v>
      </c>
      <c r="J388" s="103" t="s">
        <v>1682</v>
      </c>
      <c r="K388" s="178">
        <v>100</v>
      </c>
      <c r="L388" s="179">
        <v>100</v>
      </c>
      <c r="M388" s="56" t="s">
        <v>175</v>
      </c>
      <c r="N388" s="56" t="s">
        <v>369</v>
      </c>
      <c r="O388" s="54" t="s">
        <v>193</v>
      </c>
      <c r="P388" s="58" t="s">
        <v>42</v>
      </c>
      <c r="Q388" s="54" t="s">
        <v>1679</v>
      </c>
      <c r="R388" s="182">
        <v>100</v>
      </c>
      <c r="S388" s="178">
        <v>100</v>
      </c>
      <c r="T388" s="178">
        <v>100</v>
      </c>
      <c r="U388" s="183">
        <v>100</v>
      </c>
      <c r="V388" s="59">
        <v>500000000</v>
      </c>
      <c r="W388" s="60"/>
      <c r="X388" s="60"/>
      <c r="Y388" s="60"/>
      <c r="Z388" s="60"/>
      <c r="AA388" s="61"/>
      <c r="AB388" s="62">
        <v>1260000000</v>
      </c>
      <c r="AC388" s="60"/>
      <c r="AD388" s="60"/>
      <c r="AE388" s="60"/>
      <c r="AF388" s="60"/>
      <c r="AG388" s="60"/>
      <c r="AH388" s="63"/>
      <c r="AI388" s="62">
        <f>1260000000*1.05</f>
        <v>1323000000</v>
      </c>
      <c r="AJ388" s="60"/>
      <c r="AK388" s="60"/>
      <c r="AL388" s="60"/>
      <c r="AM388" s="60"/>
      <c r="AN388" s="60"/>
      <c r="AO388" s="63"/>
      <c r="AP388" s="62">
        <f>+AI388*1.05</f>
        <v>1389150000</v>
      </c>
      <c r="AQ388" s="60"/>
      <c r="AR388" s="60"/>
      <c r="AS388" s="60"/>
      <c r="AT388" s="60"/>
      <c r="AU388" s="60"/>
      <c r="AV388" s="64"/>
      <c r="AW388" s="55">
        <f t="shared" ref="AW388:AW451" si="33">SUM(V388:AA388)</f>
        <v>500000000</v>
      </c>
      <c r="AX388" s="55">
        <f t="shared" ref="AX388:AX451" si="34">SUM(AB388:AH388)</f>
        <v>1260000000</v>
      </c>
      <c r="AY388" s="55">
        <f t="shared" ref="AY388:AY451" si="35">SUM(AI388:AO388)</f>
        <v>1323000000</v>
      </c>
      <c r="AZ388" s="55">
        <f t="shared" ref="AZ388:AZ451" si="36">SUM(AP388:AV388)</f>
        <v>1389150000</v>
      </c>
      <c r="BA388" s="55">
        <f t="shared" ref="BA388:BA451" si="37">SUM(AW388:AZ388)</f>
        <v>4472150000</v>
      </c>
      <c r="BB388" s="32"/>
      <c r="BC388" s="32"/>
      <c r="BD388" s="32"/>
      <c r="BE388" s="32"/>
      <c r="BF388" s="32"/>
      <c r="BG388" s="32"/>
      <c r="BH388" s="32"/>
      <c r="BI388" s="32"/>
      <c r="BJ388" s="32"/>
      <c r="BK388" s="32"/>
      <c r="BL388" s="32"/>
      <c r="BM388" s="32"/>
      <c r="BN388" s="32"/>
      <c r="BO388" s="32"/>
      <c r="BP388" s="32"/>
      <c r="BQ388" s="32"/>
      <c r="BR388" s="32"/>
      <c r="BS388" s="32"/>
      <c r="BT388" s="32"/>
      <c r="BU388" s="32"/>
      <c r="BV388" s="32"/>
      <c r="BW388" s="32"/>
      <c r="BX388" s="32"/>
      <c r="BY388" s="32"/>
      <c r="BZ388" s="32"/>
      <c r="CA388" s="32"/>
      <c r="CB388" s="32"/>
      <c r="CC388" s="32"/>
      <c r="CD388" s="32"/>
      <c r="CE388" s="32"/>
      <c r="CF388" s="32"/>
      <c r="CG388" s="32"/>
      <c r="CH388" s="32"/>
      <c r="CI388" s="32"/>
      <c r="CJ388" s="32"/>
      <c r="CK388" s="32"/>
      <c r="CL388" s="32"/>
      <c r="CM388" s="32"/>
      <c r="CN388" s="32"/>
      <c r="CO388" s="32"/>
      <c r="CP388" s="32"/>
      <c r="CQ388" s="32"/>
      <c r="CR388" s="32"/>
      <c r="CS388" s="32"/>
      <c r="CT388" s="32"/>
      <c r="CU388" s="32"/>
      <c r="CV388" s="32"/>
      <c r="CW388" s="32"/>
      <c r="CX388" s="32"/>
      <c r="CY388" s="32"/>
      <c r="CZ388" s="32"/>
      <c r="DA388" s="32"/>
      <c r="DB388" s="32"/>
      <c r="DC388" s="32"/>
      <c r="DD388" s="32"/>
      <c r="DE388" s="32"/>
      <c r="DF388" s="32"/>
      <c r="DG388" s="32"/>
      <c r="DH388" s="32"/>
      <c r="DI388" s="32"/>
      <c r="DJ388" s="32"/>
      <c r="DK388" s="32"/>
      <c r="DL388" s="32"/>
      <c r="DM388" s="32"/>
      <c r="DN388" s="32"/>
      <c r="DO388" s="32"/>
      <c r="DP388" s="32"/>
      <c r="DQ388" s="32"/>
      <c r="DR388" s="32"/>
      <c r="DS388" s="32"/>
      <c r="DT388" s="32"/>
      <c r="DU388" s="32"/>
      <c r="DV388" s="32"/>
      <c r="DW388" s="32"/>
      <c r="DX388" s="32"/>
      <c r="DY388" s="32"/>
      <c r="DZ388" s="32"/>
      <c r="EA388" s="32"/>
      <c r="EB388" s="32"/>
      <c r="EC388" s="32"/>
    </row>
    <row r="389" spans="1:133" s="13" customFormat="1" ht="110.25" x14ac:dyDescent="0.25">
      <c r="A389" s="130" t="s">
        <v>533</v>
      </c>
      <c r="B389" s="132" t="s">
        <v>745</v>
      </c>
      <c r="C389" s="118" t="s">
        <v>764</v>
      </c>
      <c r="D389" s="127" t="s">
        <v>765</v>
      </c>
      <c r="E389" s="127" t="s">
        <v>766</v>
      </c>
      <c r="F389" s="127" t="s">
        <v>767</v>
      </c>
      <c r="G389" s="123" t="s">
        <v>789</v>
      </c>
      <c r="H389" s="123" t="s">
        <v>1519</v>
      </c>
      <c r="I389" s="103" t="s">
        <v>790</v>
      </c>
      <c r="J389" s="103" t="s">
        <v>1683</v>
      </c>
      <c r="K389" s="56">
        <v>1</v>
      </c>
      <c r="L389" s="86">
        <v>1</v>
      </c>
      <c r="M389" s="56" t="s">
        <v>791</v>
      </c>
      <c r="N389" s="56" t="s">
        <v>369</v>
      </c>
      <c r="O389" s="54" t="s">
        <v>193</v>
      </c>
      <c r="P389" s="58" t="s">
        <v>42</v>
      </c>
      <c r="Q389" s="54" t="s">
        <v>1679</v>
      </c>
      <c r="R389" s="182">
        <v>1</v>
      </c>
      <c r="S389" s="178">
        <v>1</v>
      </c>
      <c r="T389" s="178">
        <v>1</v>
      </c>
      <c r="U389" s="183">
        <v>1</v>
      </c>
      <c r="V389" s="59">
        <v>32000000</v>
      </c>
      <c r="W389" s="60"/>
      <c r="X389" s="60"/>
      <c r="Y389" s="60"/>
      <c r="Z389" s="60"/>
      <c r="AA389" s="61"/>
      <c r="AB389" s="62">
        <v>350000000</v>
      </c>
      <c r="AC389" s="60"/>
      <c r="AD389" s="60"/>
      <c r="AE389" s="60"/>
      <c r="AF389" s="60"/>
      <c r="AG389" s="60"/>
      <c r="AH389" s="63"/>
      <c r="AI389" s="62">
        <v>350000000</v>
      </c>
      <c r="AJ389" s="60"/>
      <c r="AK389" s="60"/>
      <c r="AL389" s="60"/>
      <c r="AM389" s="60"/>
      <c r="AN389" s="60"/>
      <c r="AO389" s="63"/>
      <c r="AP389" s="62">
        <v>350000000</v>
      </c>
      <c r="AQ389" s="60"/>
      <c r="AR389" s="60"/>
      <c r="AS389" s="60"/>
      <c r="AT389" s="60"/>
      <c r="AU389" s="60"/>
      <c r="AV389" s="64"/>
      <c r="AW389" s="55">
        <f t="shared" si="33"/>
        <v>32000000</v>
      </c>
      <c r="AX389" s="55">
        <f t="shared" si="34"/>
        <v>350000000</v>
      </c>
      <c r="AY389" s="55">
        <f t="shared" si="35"/>
        <v>350000000</v>
      </c>
      <c r="AZ389" s="55">
        <f t="shared" si="36"/>
        <v>350000000</v>
      </c>
      <c r="BA389" s="55">
        <f t="shared" si="37"/>
        <v>1082000000</v>
      </c>
      <c r="BB389" s="32"/>
      <c r="BC389" s="32"/>
      <c r="BD389" s="32"/>
      <c r="BE389" s="32"/>
      <c r="BF389" s="32"/>
      <c r="BG389" s="32"/>
      <c r="BH389" s="32"/>
      <c r="BI389" s="32"/>
      <c r="BJ389" s="32"/>
      <c r="BK389" s="32"/>
      <c r="BL389" s="32"/>
      <c r="BM389" s="32"/>
      <c r="BN389" s="32"/>
      <c r="BO389" s="32"/>
      <c r="BP389" s="32"/>
      <c r="BQ389" s="32"/>
      <c r="BR389" s="32"/>
      <c r="BS389" s="32"/>
      <c r="BT389" s="32"/>
      <c r="BU389" s="32"/>
      <c r="BV389" s="32"/>
      <c r="BW389" s="32"/>
      <c r="BX389" s="32"/>
      <c r="BY389" s="32"/>
      <c r="BZ389" s="32"/>
      <c r="CA389" s="32"/>
      <c r="CB389" s="32"/>
      <c r="CC389" s="32"/>
      <c r="CD389" s="32"/>
      <c r="CE389" s="32"/>
      <c r="CF389" s="32"/>
      <c r="CG389" s="32"/>
      <c r="CH389" s="32"/>
      <c r="CI389" s="32"/>
      <c r="CJ389" s="32"/>
      <c r="CK389" s="32"/>
      <c r="CL389" s="32"/>
      <c r="CM389" s="32"/>
      <c r="CN389" s="32"/>
      <c r="CO389" s="32"/>
      <c r="CP389" s="32"/>
      <c r="CQ389" s="32"/>
      <c r="CR389" s="32"/>
      <c r="CS389" s="32"/>
      <c r="CT389" s="32"/>
      <c r="CU389" s="32"/>
      <c r="CV389" s="32"/>
      <c r="CW389" s="32"/>
      <c r="CX389" s="32"/>
      <c r="CY389" s="32"/>
      <c r="CZ389" s="32"/>
      <c r="DA389" s="32"/>
      <c r="DB389" s="32"/>
      <c r="DC389" s="32"/>
      <c r="DD389" s="32"/>
      <c r="DE389" s="32"/>
      <c r="DF389" s="32"/>
      <c r="DG389" s="32"/>
      <c r="DH389" s="32"/>
      <c r="DI389" s="32"/>
      <c r="DJ389" s="32"/>
      <c r="DK389" s="32"/>
      <c r="DL389" s="32"/>
      <c r="DM389" s="32"/>
      <c r="DN389" s="32"/>
      <c r="DO389" s="32"/>
      <c r="DP389" s="32"/>
      <c r="DQ389" s="32"/>
      <c r="DR389" s="32"/>
      <c r="DS389" s="32"/>
      <c r="DT389" s="32"/>
      <c r="DU389" s="32"/>
      <c r="DV389" s="32"/>
      <c r="DW389" s="32"/>
      <c r="DX389" s="32"/>
      <c r="DY389" s="32"/>
      <c r="DZ389" s="32"/>
      <c r="EA389" s="32"/>
      <c r="EB389" s="32"/>
      <c r="EC389" s="32"/>
    </row>
    <row r="390" spans="1:133" s="13" customFormat="1" ht="110.25" x14ac:dyDescent="0.25">
      <c r="A390" s="130" t="s">
        <v>533</v>
      </c>
      <c r="B390" s="132" t="s">
        <v>745</v>
      </c>
      <c r="C390" s="118" t="s">
        <v>764</v>
      </c>
      <c r="D390" s="127" t="s">
        <v>765</v>
      </c>
      <c r="E390" s="127" t="s">
        <v>766</v>
      </c>
      <c r="F390" s="127" t="s">
        <v>767</v>
      </c>
      <c r="G390" s="123" t="s">
        <v>789</v>
      </c>
      <c r="H390" s="123" t="s">
        <v>1520</v>
      </c>
      <c r="I390" s="103" t="s">
        <v>792</v>
      </c>
      <c r="J390" s="103" t="s">
        <v>1683</v>
      </c>
      <c r="K390" s="56">
        <v>1</v>
      </c>
      <c r="L390" s="86">
        <v>1</v>
      </c>
      <c r="M390" s="56" t="s">
        <v>791</v>
      </c>
      <c r="N390" s="56" t="s">
        <v>369</v>
      </c>
      <c r="O390" s="54" t="s">
        <v>193</v>
      </c>
      <c r="P390" s="58" t="s">
        <v>42</v>
      </c>
      <c r="Q390" s="54" t="s">
        <v>1679</v>
      </c>
      <c r="R390" s="182">
        <v>1</v>
      </c>
      <c r="S390" s="178">
        <v>1</v>
      </c>
      <c r="T390" s="178">
        <v>1</v>
      </c>
      <c r="U390" s="183">
        <v>1</v>
      </c>
      <c r="V390" s="59">
        <v>40000000</v>
      </c>
      <c r="W390" s="60"/>
      <c r="X390" s="60"/>
      <c r="Y390" s="60"/>
      <c r="Z390" s="60"/>
      <c r="AA390" s="61"/>
      <c r="AB390" s="62">
        <v>350000000</v>
      </c>
      <c r="AC390" s="60"/>
      <c r="AD390" s="60"/>
      <c r="AE390" s="60"/>
      <c r="AF390" s="60"/>
      <c r="AG390" s="60"/>
      <c r="AH390" s="63"/>
      <c r="AI390" s="62">
        <v>350000000</v>
      </c>
      <c r="AJ390" s="60"/>
      <c r="AK390" s="60"/>
      <c r="AL390" s="60"/>
      <c r="AM390" s="60"/>
      <c r="AN390" s="60"/>
      <c r="AO390" s="63"/>
      <c r="AP390" s="62">
        <v>350000000</v>
      </c>
      <c r="AQ390" s="60"/>
      <c r="AR390" s="60"/>
      <c r="AS390" s="60"/>
      <c r="AT390" s="60"/>
      <c r="AU390" s="60"/>
      <c r="AV390" s="64"/>
      <c r="AW390" s="55">
        <f t="shared" si="33"/>
        <v>40000000</v>
      </c>
      <c r="AX390" s="55">
        <f t="shared" si="34"/>
        <v>350000000</v>
      </c>
      <c r="AY390" s="55">
        <f t="shared" si="35"/>
        <v>350000000</v>
      </c>
      <c r="AZ390" s="55">
        <f t="shared" si="36"/>
        <v>350000000</v>
      </c>
      <c r="BA390" s="55">
        <f t="shared" si="37"/>
        <v>1090000000</v>
      </c>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row>
    <row r="391" spans="1:133" s="13" customFormat="1" ht="110.25" x14ac:dyDescent="0.25">
      <c r="A391" s="130" t="s">
        <v>533</v>
      </c>
      <c r="B391" s="132" t="s">
        <v>745</v>
      </c>
      <c r="C391" s="118" t="s">
        <v>764</v>
      </c>
      <c r="D391" s="127" t="s">
        <v>765</v>
      </c>
      <c r="E391" s="127" t="s">
        <v>766</v>
      </c>
      <c r="F391" s="127" t="s">
        <v>767</v>
      </c>
      <c r="G391" s="123" t="s">
        <v>789</v>
      </c>
      <c r="H391" s="123" t="s">
        <v>1521</v>
      </c>
      <c r="I391" s="103" t="s">
        <v>793</v>
      </c>
      <c r="J391" s="103" t="s">
        <v>1683</v>
      </c>
      <c r="K391" s="56">
        <v>1</v>
      </c>
      <c r="L391" s="86">
        <v>5</v>
      </c>
      <c r="M391" s="56" t="s">
        <v>776</v>
      </c>
      <c r="N391" s="56" t="s">
        <v>164</v>
      </c>
      <c r="O391" s="54" t="s">
        <v>193</v>
      </c>
      <c r="P391" s="58" t="s">
        <v>1677</v>
      </c>
      <c r="Q391" s="171" t="s">
        <v>1680</v>
      </c>
      <c r="R391" s="182">
        <v>1</v>
      </c>
      <c r="S391" s="178">
        <v>1</v>
      </c>
      <c r="T391" s="178">
        <v>1</v>
      </c>
      <c r="U391" s="183">
        <v>1</v>
      </c>
      <c r="V391" s="59">
        <v>215460000</v>
      </c>
      <c r="W391" s="60"/>
      <c r="X391" s="60"/>
      <c r="Y391" s="60"/>
      <c r="Z391" s="60"/>
      <c r="AA391" s="61"/>
      <c r="AB391" s="62">
        <v>223647480</v>
      </c>
      <c r="AC391" s="60"/>
      <c r="AD391" s="60"/>
      <c r="AE391" s="60"/>
      <c r="AF391" s="60"/>
      <c r="AG391" s="60"/>
      <c r="AH391" s="63"/>
      <c r="AI391" s="62">
        <v>308633522</v>
      </c>
      <c r="AJ391" s="60"/>
      <c r="AK391" s="60"/>
      <c r="AL391" s="60"/>
      <c r="AM391" s="60"/>
      <c r="AN391" s="60"/>
      <c r="AO391" s="63"/>
      <c r="AP391" s="62">
        <v>320361596</v>
      </c>
      <c r="AQ391" s="60"/>
      <c r="AR391" s="60"/>
      <c r="AS391" s="60"/>
      <c r="AT391" s="60"/>
      <c r="AU391" s="60"/>
      <c r="AV391" s="64"/>
      <c r="AW391" s="55">
        <f t="shared" si="33"/>
        <v>215460000</v>
      </c>
      <c r="AX391" s="55">
        <f t="shared" si="34"/>
        <v>223647480</v>
      </c>
      <c r="AY391" s="55">
        <f t="shared" si="35"/>
        <v>308633522</v>
      </c>
      <c r="AZ391" s="55">
        <f t="shared" si="36"/>
        <v>320361596</v>
      </c>
      <c r="BA391" s="55">
        <f t="shared" si="37"/>
        <v>1068102598</v>
      </c>
      <c r="BB391" s="32"/>
      <c r="BC391" s="32"/>
      <c r="BD391" s="32"/>
      <c r="BE391" s="32"/>
      <c r="BF391" s="32"/>
      <c r="BG391" s="32"/>
      <c r="BH391" s="32"/>
      <c r="BI391" s="32"/>
      <c r="BJ391" s="32"/>
      <c r="BK391" s="32"/>
      <c r="BL391" s="32"/>
      <c r="BM391" s="32"/>
      <c r="BN391" s="32"/>
      <c r="BO391" s="32"/>
      <c r="BP391" s="32"/>
      <c r="BQ391" s="32"/>
      <c r="BR391" s="32"/>
      <c r="BS391" s="32"/>
      <c r="BT391" s="32"/>
      <c r="BU391" s="32"/>
      <c r="BV391" s="32"/>
      <c r="BW391" s="32"/>
      <c r="BX391" s="32"/>
      <c r="BY391" s="32"/>
      <c r="BZ391" s="32"/>
      <c r="CA391" s="32"/>
      <c r="CB391" s="32"/>
      <c r="CC391" s="32"/>
      <c r="CD391" s="32"/>
      <c r="CE391" s="32"/>
      <c r="CF391" s="32"/>
      <c r="CG391" s="32"/>
      <c r="CH391" s="32"/>
      <c r="CI391" s="32"/>
      <c r="CJ391" s="32"/>
      <c r="CK391" s="32"/>
      <c r="CL391" s="32"/>
      <c r="CM391" s="32"/>
      <c r="CN391" s="32"/>
      <c r="CO391" s="32"/>
      <c r="CP391" s="32"/>
      <c r="CQ391" s="32"/>
      <c r="CR391" s="32"/>
      <c r="CS391" s="32"/>
      <c r="CT391" s="32"/>
      <c r="CU391" s="32"/>
      <c r="CV391" s="32"/>
      <c r="CW391" s="32"/>
      <c r="CX391" s="32"/>
      <c r="CY391" s="32"/>
      <c r="CZ391" s="32"/>
      <c r="DA391" s="32"/>
      <c r="DB391" s="32"/>
      <c r="DC391" s="32"/>
      <c r="DD391" s="32"/>
      <c r="DE391" s="32"/>
      <c r="DF391" s="32"/>
      <c r="DG391" s="32"/>
      <c r="DH391" s="32"/>
      <c r="DI391" s="32"/>
      <c r="DJ391" s="32"/>
      <c r="DK391" s="32"/>
      <c r="DL391" s="32"/>
      <c r="DM391" s="32"/>
      <c r="DN391" s="32"/>
      <c r="DO391" s="32"/>
      <c r="DP391" s="32"/>
      <c r="DQ391" s="32"/>
      <c r="DR391" s="32"/>
      <c r="DS391" s="32"/>
      <c r="DT391" s="32"/>
      <c r="DU391" s="32"/>
      <c r="DV391" s="32"/>
      <c r="DW391" s="32"/>
      <c r="DX391" s="32"/>
      <c r="DY391" s="32"/>
      <c r="DZ391" s="32"/>
      <c r="EA391" s="32"/>
      <c r="EB391" s="32"/>
      <c r="EC391" s="32"/>
    </row>
    <row r="392" spans="1:133" s="13" customFormat="1" ht="110.25" x14ac:dyDescent="0.25">
      <c r="A392" s="130" t="s">
        <v>533</v>
      </c>
      <c r="B392" s="132" t="s">
        <v>745</v>
      </c>
      <c r="C392" s="118" t="s">
        <v>764</v>
      </c>
      <c r="D392" s="127" t="s">
        <v>765</v>
      </c>
      <c r="E392" s="127" t="s">
        <v>766</v>
      </c>
      <c r="F392" s="127" t="s">
        <v>767</v>
      </c>
      <c r="G392" s="123" t="s">
        <v>789</v>
      </c>
      <c r="H392" s="123" t="s">
        <v>1522</v>
      </c>
      <c r="I392" s="103" t="s">
        <v>794</v>
      </c>
      <c r="J392" s="103" t="s">
        <v>1683</v>
      </c>
      <c r="K392" s="56">
        <v>0</v>
      </c>
      <c r="L392" s="86">
        <v>1</v>
      </c>
      <c r="M392" s="56" t="s">
        <v>791</v>
      </c>
      <c r="N392" s="56" t="s">
        <v>369</v>
      </c>
      <c r="O392" s="54" t="s">
        <v>193</v>
      </c>
      <c r="P392" s="58" t="s">
        <v>181</v>
      </c>
      <c r="Q392" s="171" t="s">
        <v>1679</v>
      </c>
      <c r="R392" s="182">
        <v>0</v>
      </c>
      <c r="S392" s="178">
        <v>1</v>
      </c>
      <c r="T392" s="178">
        <v>1</v>
      </c>
      <c r="U392" s="183">
        <v>1</v>
      </c>
      <c r="V392" s="59"/>
      <c r="W392" s="60"/>
      <c r="X392" s="60"/>
      <c r="Y392" s="60"/>
      <c r="Z392" s="60"/>
      <c r="AA392" s="61"/>
      <c r="AB392" s="62" t="s">
        <v>795</v>
      </c>
      <c r="AC392" s="60"/>
      <c r="AD392" s="60"/>
      <c r="AE392" s="60"/>
      <c r="AF392" s="60"/>
      <c r="AG392" s="60"/>
      <c r="AH392" s="63"/>
      <c r="AI392" s="62" t="s">
        <v>795</v>
      </c>
      <c r="AJ392" s="60"/>
      <c r="AK392" s="60"/>
      <c r="AL392" s="60"/>
      <c r="AM392" s="60"/>
      <c r="AN392" s="60"/>
      <c r="AO392" s="63"/>
      <c r="AP392" s="62" t="s">
        <v>795</v>
      </c>
      <c r="AQ392" s="60"/>
      <c r="AR392" s="60"/>
      <c r="AS392" s="60"/>
      <c r="AT392" s="60"/>
      <c r="AU392" s="60"/>
      <c r="AV392" s="64"/>
      <c r="AW392" s="55">
        <f t="shared" si="33"/>
        <v>0</v>
      </c>
      <c r="AX392" s="55">
        <f t="shared" si="34"/>
        <v>0</v>
      </c>
      <c r="AY392" s="55">
        <f t="shared" si="35"/>
        <v>0</v>
      </c>
      <c r="AZ392" s="55">
        <f t="shared" si="36"/>
        <v>0</v>
      </c>
      <c r="BA392" s="55">
        <f t="shared" si="37"/>
        <v>0</v>
      </c>
      <c r="BB392" s="32"/>
      <c r="BC392" s="32"/>
      <c r="BD392" s="32"/>
      <c r="BE392" s="32"/>
      <c r="BF392" s="32"/>
      <c r="BG392" s="32"/>
      <c r="BH392" s="32"/>
      <c r="BI392" s="32"/>
      <c r="BJ392" s="32"/>
      <c r="BK392" s="32"/>
      <c r="BL392" s="32"/>
      <c r="BM392" s="32"/>
      <c r="BN392" s="32"/>
      <c r="BO392" s="32"/>
      <c r="BP392" s="32"/>
      <c r="BQ392" s="32"/>
      <c r="BR392" s="32"/>
      <c r="BS392" s="32"/>
      <c r="BT392" s="32"/>
      <c r="BU392" s="32"/>
      <c r="BV392" s="32"/>
      <c r="BW392" s="32"/>
      <c r="BX392" s="32"/>
      <c r="BY392" s="32"/>
      <c r="BZ392" s="32"/>
      <c r="CA392" s="32"/>
      <c r="CB392" s="32"/>
      <c r="CC392" s="32"/>
      <c r="CD392" s="32"/>
      <c r="CE392" s="32"/>
      <c r="CF392" s="32"/>
      <c r="CG392" s="32"/>
      <c r="CH392" s="32"/>
      <c r="CI392" s="32"/>
      <c r="CJ392" s="32"/>
      <c r="CK392" s="32"/>
      <c r="CL392" s="32"/>
      <c r="CM392" s="32"/>
      <c r="CN392" s="32"/>
      <c r="CO392" s="32"/>
      <c r="CP392" s="32"/>
      <c r="CQ392" s="32"/>
      <c r="CR392" s="32"/>
      <c r="CS392" s="32"/>
      <c r="CT392" s="32"/>
      <c r="CU392" s="32"/>
      <c r="CV392" s="32"/>
      <c r="CW392" s="32"/>
      <c r="CX392" s="32"/>
      <c r="CY392" s="32"/>
      <c r="CZ392" s="32"/>
      <c r="DA392" s="32"/>
      <c r="DB392" s="32"/>
      <c r="DC392" s="32"/>
      <c r="DD392" s="32"/>
      <c r="DE392" s="32"/>
      <c r="DF392" s="32"/>
      <c r="DG392" s="32"/>
      <c r="DH392" s="32"/>
      <c r="DI392" s="32"/>
      <c r="DJ392" s="32"/>
      <c r="DK392" s="32"/>
      <c r="DL392" s="32"/>
      <c r="DM392" s="32"/>
      <c r="DN392" s="32"/>
      <c r="DO392" s="32"/>
      <c r="DP392" s="32"/>
      <c r="DQ392" s="32"/>
      <c r="DR392" s="32"/>
      <c r="DS392" s="32"/>
      <c r="DT392" s="32"/>
      <c r="DU392" s="32"/>
      <c r="DV392" s="32"/>
      <c r="DW392" s="32"/>
      <c r="DX392" s="32"/>
      <c r="DY392" s="32"/>
      <c r="DZ392" s="32"/>
      <c r="EA392" s="32"/>
      <c r="EB392" s="32"/>
      <c r="EC392" s="32"/>
    </row>
    <row r="393" spans="1:133" s="13" customFormat="1" ht="110.25" x14ac:dyDescent="0.25">
      <c r="A393" s="130" t="s">
        <v>533</v>
      </c>
      <c r="B393" s="132" t="s">
        <v>745</v>
      </c>
      <c r="C393" s="118" t="s">
        <v>764</v>
      </c>
      <c r="D393" s="127" t="s">
        <v>765</v>
      </c>
      <c r="E393" s="127" t="s">
        <v>766</v>
      </c>
      <c r="F393" s="127" t="s">
        <v>767</v>
      </c>
      <c r="G393" s="123" t="s">
        <v>796</v>
      </c>
      <c r="H393" s="123" t="s">
        <v>1523</v>
      </c>
      <c r="I393" s="103" t="s">
        <v>797</v>
      </c>
      <c r="J393" s="103" t="s">
        <v>1683</v>
      </c>
      <c r="K393" s="56">
        <v>0</v>
      </c>
      <c r="L393" s="86">
        <v>40</v>
      </c>
      <c r="M393" s="56" t="s">
        <v>175</v>
      </c>
      <c r="N393" s="56" t="s">
        <v>369</v>
      </c>
      <c r="O393" s="54" t="s">
        <v>193</v>
      </c>
      <c r="P393" s="58" t="s">
        <v>39</v>
      </c>
      <c r="Q393" s="171" t="s">
        <v>1680</v>
      </c>
      <c r="R393" s="182">
        <v>8</v>
      </c>
      <c r="S393" s="178">
        <v>11</v>
      </c>
      <c r="T393" s="178">
        <v>11</v>
      </c>
      <c r="U393" s="183">
        <v>10</v>
      </c>
      <c r="V393" s="59">
        <f>610772000/2</f>
        <v>305386000</v>
      </c>
      <c r="W393" s="60"/>
      <c r="X393" s="60"/>
      <c r="Y393" s="60"/>
      <c r="Z393" s="60"/>
      <c r="AA393" s="61"/>
      <c r="AB393" s="62">
        <f>484686000/3</f>
        <v>161562000</v>
      </c>
      <c r="AC393" s="60"/>
      <c r="AD393" s="60"/>
      <c r="AE393" s="60"/>
      <c r="AF393" s="60"/>
      <c r="AG393" s="60"/>
      <c r="AH393" s="63"/>
      <c r="AI393" s="62">
        <f>610772000/2</f>
        <v>305386000</v>
      </c>
      <c r="AJ393" s="60"/>
      <c r="AK393" s="60"/>
      <c r="AL393" s="60"/>
      <c r="AM393" s="60"/>
      <c r="AN393" s="60"/>
      <c r="AO393" s="63"/>
      <c r="AP393" s="62">
        <f>610772000/3</f>
        <v>203590666.66666666</v>
      </c>
      <c r="AQ393" s="60"/>
      <c r="AR393" s="60"/>
      <c r="AS393" s="60"/>
      <c r="AT393" s="60"/>
      <c r="AU393" s="60"/>
      <c r="AV393" s="64"/>
      <c r="AW393" s="55">
        <f t="shared" si="33"/>
        <v>305386000</v>
      </c>
      <c r="AX393" s="55">
        <f t="shared" si="34"/>
        <v>161562000</v>
      </c>
      <c r="AY393" s="55">
        <f t="shared" si="35"/>
        <v>305386000</v>
      </c>
      <c r="AZ393" s="55">
        <f t="shared" si="36"/>
        <v>203590666.66666666</v>
      </c>
      <c r="BA393" s="55">
        <f t="shared" si="37"/>
        <v>975924666.66666663</v>
      </c>
      <c r="BB393" s="32"/>
      <c r="BC393" s="32"/>
      <c r="BD393" s="32"/>
      <c r="BE393" s="32"/>
      <c r="BF393" s="32"/>
      <c r="BG393" s="32"/>
      <c r="BH393" s="32"/>
      <c r="BI393" s="32"/>
      <c r="BJ393" s="32"/>
      <c r="BK393" s="32"/>
      <c r="BL393" s="32"/>
      <c r="BM393" s="32"/>
      <c r="BN393" s="32"/>
      <c r="BO393" s="32"/>
      <c r="BP393" s="32"/>
      <c r="BQ393" s="32"/>
      <c r="BR393" s="32"/>
      <c r="BS393" s="32"/>
      <c r="BT393" s="32"/>
      <c r="BU393" s="32"/>
      <c r="BV393" s="32"/>
      <c r="BW393" s="32"/>
      <c r="BX393" s="32"/>
      <c r="BY393" s="32"/>
      <c r="BZ393" s="32"/>
      <c r="CA393" s="32"/>
      <c r="CB393" s="32"/>
      <c r="CC393" s="32"/>
      <c r="CD393" s="32"/>
      <c r="CE393" s="32"/>
      <c r="CF393" s="32"/>
      <c r="CG393" s="32"/>
      <c r="CH393" s="32"/>
      <c r="CI393" s="32"/>
      <c r="CJ393" s="32"/>
      <c r="CK393" s="32"/>
      <c r="CL393" s="32"/>
      <c r="CM393" s="32"/>
      <c r="CN393" s="32"/>
      <c r="CO393" s="32"/>
      <c r="CP393" s="32"/>
      <c r="CQ393" s="32"/>
      <c r="CR393" s="32"/>
      <c r="CS393" s="32"/>
      <c r="CT393" s="32"/>
      <c r="CU393" s="32"/>
      <c r="CV393" s="32"/>
      <c r="CW393" s="32"/>
      <c r="CX393" s="32"/>
      <c r="CY393" s="32"/>
      <c r="CZ393" s="32"/>
      <c r="DA393" s="32"/>
      <c r="DB393" s="32"/>
      <c r="DC393" s="32"/>
      <c r="DD393" s="32"/>
      <c r="DE393" s="32"/>
      <c r="DF393" s="32"/>
      <c r="DG393" s="32"/>
      <c r="DH393" s="32"/>
      <c r="DI393" s="32"/>
      <c r="DJ393" s="32"/>
      <c r="DK393" s="32"/>
      <c r="DL393" s="32"/>
      <c r="DM393" s="32"/>
      <c r="DN393" s="32"/>
      <c r="DO393" s="32"/>
      <c r="DP393" s="32"/>
      <c r="DQ393" s="32"/>
      <c r="DR393" s="32"/>
      <c r="DS393" s="32"/>
      <c r="DT393" s="32"/>
      <c r="DU393" s="32"/>
      <c r="DV393" s="32"/>
      <c r="DW393" s="32"/>
      <c r="DX393" s="32"/>
      <c r="DY393" s="32"/>
      <c r="DZ393" s="32"/>
      <c r="EA393" s="32"/>
      <c r="EB393" s="32"/>
      <c r="EC393" s="32"/>
    </row>
    <row r="394" spans="1:133" s="13" customFormat="1" ht="110.25" x14ac:dyDescent="0.25">
      <c r="A394" s="130" t="s">
        <v>533</v>
      </c>
      <c r="B394" s="132" t="s">
        <v>745</v>
      </c>
      <c r="C394" s="118" t="s">
        <v>764</v>
      </c>
      <c r="D394" s="127" t="s">
        <v>765</v>
      </c>
      <c r="E394" s="127" t="s">
        <v>766</v>
      </c>
      <c r="F394" s="127" t="s">
        <v>767</v>
      </c>
      <c r="G394" s="123" t="s">
        <v>796</v>
      </c>
      <c r="H394" s="123" t="s">
        <v>1524</v>
      </c>
      <c r="I394" s="103" t="s">
        <v>798</v>
      </c>
      <c r="J394" s="103" t="s">
        <v>1683</v>
      </c>
      <c r="K394" s="56">
        <v>0</v>
      </c>
      <c r="L394" s="86">
        <v>5</v>
      </c>
      <c r="M394" s="56" t="s">
        <v>175</v>
      </c>
      <c r="N394" s="56" t="s">
        <v>369</v>
      </c>
      <c r="O394" s="54" t="s">
        <v>193</v>
      </c>
      <c r="P394" s="58" t="s">
        <v>181</v>
      </c>
      <c r="Q394" s="171" t="s">
        <v>1679</v>
      </c>
      <c r="R394" s="182">
        <v>4</v>
      </c>
      <c r="S394" s="178">
        <v>4</v>
      </c>
      <c r="T394" s="178">
        <v>5</v>
      </c>
      <c r="U394" s="183">
        <v>5</v>
      </c>
      <c r="V394" s="59">
        <f>610772000/2</f>
        <v>305386000</v>
      </c>
      <c r="W394" s="60"/>
      <c r="X394" s="60"/>
      <c r="Y394" s="60"/>
      <c r="Z394" s="60"/>
      <c r="AA394" s="61"/>
      <c r="AB394" s="62">
        <f>484686000/3</f>
        <v>161562000</v>
      </c>
      <c r="AC394" s="60"/>
      <c r="AD394" s="60"/>
      <c r="AE394" s="60"/>
      <c r="AF394" s="60"/>
      <c r="AG394" s="60"/>
      <c r="AH394" s="63"/>
      <c r="AI394" s="62">
        <f>610772000/2</f>
        <v>305386000</v>
      </c>
      <c r="AJ394" s="60"/>
      <c r="AK394" s="60"/>
      <c r="AL394" s="60"/>
      <c r="AM394" s="60"/>
      <c r="AN394" s="60"/>
      <c r="AO394" s="63"/>
      <c r="AP394" s="62">
        <f>610772000/3</f>
        <v>203590666.66666666</v>
      </c>
      <c r="AQ394" s="60"/>
      <c r="AR394" s="60"/>
      <c r="AS394" s="60"/>
      <c r="AT394" s="60"/>
      <c r="AU394" s="60"/>
      <c r="AV394" s="64"/>
      <c r="AW394" s="55">
        <f t="shared" si="33"/>
        <v>305386000</v>
      </c>
      <c r="AX394" s="55">
        <f t="shared" si="34"/>
        <v>161562000</v>
      </c>
      <c r="AY394" s="55">
        <f t="shared" si="35"/>
        <v>305386000</v>
      </c>
      <c r="AZ394" s="55">
        <f t="shared" si="36"/>
        <v>203590666.66666666</v>
      </c>
      <c r="BA394" s="55">
        <f t="shared" si="37"/>
        <v>975924666.66666663</v>
      </c>
      <c r="BB394" s="32"/>
      <c r="BC394" s="32"/>
      <c r="BD394" s="32"/>
      <c r="BE394" s="32"/>
      <c r="BF394" s="32"/>
      <c r="BG394" s="32"/>
      <c r="BH394" s="32"/>
      <c r="BI394" s="32"/>
      <c r="BJ394" s="32"/>
      <c r="BK394" s="32"/>
      <c r="BL394" s="32"/>
      <c r="BM394" s="32"/>
      <c r="BN394" s="32"/>
      <c r="BO394" s="32"/>
      <c r="BP394" s="32"/>
      <c r="BQ394" s="32"/>
      <c r="BR394" s="32"/>
      <c r="BS394" s="32"/>
      <c r="BT394" s="32"/>
      <c r="BU394" s="32"/>
      <c r="BV394" s="32"/>
      <c r="BW394" s="32"/>
      <c r="BX394" s="32"/>
      <c r="BY394" s="32"/>
      <c r="BZ394" s="32"/>
      <c r="CA394" s="32"/>
      <c r="CB394" s="32"/>
      <c r="CC394" s="32"/>
      <c r="CD394" s="32"/>
      <c r="CE394" s="32"/>
      <c r="CF394" s="32"/>
      <c r="CG394" s="32"/>
      <c r="CH394" s="32"/>
      <c r="CI394" s="32"/>
      <c r="CJ394" s="32"/>
      <c r="CK394" s="32"/>
      <c r="CL394" s="32"/>
      <c r="CM394" s="32"/>
      <c r="CN394" s="32"/>
      <c r="CO394" s="32"/>
      <c r="CP394" s="32"/>
      <c r="CQ394" s="32"/>
      <c r="CR394" s="32"/>
      <c r="CS394" s="32"/>
      <c r="CT394" s="32"/>
      <c r="CU394" s="32"/>
      <c r="CV394" s="32"/>
      <c r="CW394" s="32"/>
      <c r="CX394" s="32"/>
      <c r="CY394" s="32"/>
      <c r="CZ394" s="32"/>
      <c r="DA394" s="32"/>
      <c r="DB394" s="32"/>
      <c r="DC394" s="32"/>
      <c r="DD394" s="32"/>
      <c r="DE394" s="32"/>
      <c r="DF394" s="32"/>
      <c r="DG394" s="32"/>
      <c r="DH394" s="32"/>
      <c r="DI394" s="32"/>
      <c r="DJ394" s="32"/>
      <c r="DK394" s="32"/>
      <c r="DL394" s="32"/>
      <c r="DM394" s="32"/>
      <c r="DN394" s="32"/>
      <c r="DO394" s="32"/>
      <c r="DP394" s="32"/>
      <c r="DQ394" s="32"/>
      <c r="DR394" s="32"/>
      <c r="DS394" s="32"/>
      <c r="DT394" s="32"/>
      <c r="DU394" s="32"/>
      <c r="DV394" s="32"/>
      <c r="DW394" s="32"/>
      <c r="DX394" s="32"/>
      <c r="DY394" s="32"/>
      <c r="DZ394" s="32"/>
      <c r="EA394" s="32"/>
      <c r="EB394" s="32"/>
      <c r="EC394" s="32"/>
    </row>
    <row r="395" spans="1:133" s="13" customFormat="1" ht="110.25" x14ac:dyDescent="0.25">
      <c r="A395" s="130" t="s">
        <v>533</v>
      </c>
      <c r="B395" s="132" t="s">
        <v>745</v>
      </c>
      <c r="C395" s="118" t="s">
        <v>764</v>
      </c>
      <c r="D395" s="127" t="s">
        <v>765</v>
      </c>
      <c r="E395" s="127" t="s">
        <v>766</v>
      </c>
      <c r="F395" s="127" t="s">
        <v>767</v>
      </c>
      <c r="G395" s="123" t="s">
        <v>796</v>
      </c>
      <c r="H395" s="123" t="s">
        <v>1525</v>
      </c>
      <c r="I395" s="103" t="s">
        <v>799</v>
      </c>
      <c r="J395" s="103" t="s">
        <v>1683</v>
      </c>
      <c r="K395" s="56">
        <v>0</v>
      </c>
      <c r="L395" s="86">
        <v>2</v>
      </c>
      <c r="M395" s="56" t="s">
        <v>175</v>
      </c>
      <c r="N395" s="56" t="s">
        <v>187</v>
      </c>
      <c r="O395" s="54" t="s">
        <v>193</v>
      </c>
      <c r="P395" s="58" t="s">
        <v>39</v>
      </c>
      <c r="Q395" s="171" t="s">
        <v>1680</v>
      </c>
      <c r="R395" s="182">
        <v>0</v>
      </c>
      <c r="S395" s="178">
        <v>0</v>
      </c>
      <c r="T395" s="178">
        <v>1</v>
      </c>
      <c r="U395" s="183">
        <v>1</v>
      </c>
      <c r="V395" s="59"/>
      <c r="W395" s="60"/>
      <c r="X395" s="60"/>
      <c r="Y395" s="60"/>
      <c r="Z395" s="60"/>
      <c r="AA395" s="61"/>
      <c r="AB395" s="62">
        <f>484686000/3</f>
        <v>161562000</v>
      </c>
      <c r="AC395" s="60"/>
      <c r="AD395" s="60"/>
      <c r="AE395" s="60"/>
      <c r="AF395" s="60"/>
      <c r="AG395" s="60"/>
      <c r="AH395" s="63"/>
      <c r="AI395" s="87"/>
      <c r="AJ395" s="60"/>
      <c r="AK395" s="60"/>
      <c r="AL395" s="60"/>
      <c r="AM395" s="60"/>
      <c r="AN395" s="60"/>
      <c r="AO395" s="63"/>
      <c r="AP395" s="62">
        <f>610772000/3</f>
        <v>203590666.66666666</v>
      </c>
      <c r="AQ395" s="60"/>
      <c r="AR395" s="60"/>
      <c r="AS395" s="60"/>
      <c r="AT395" s="60"/>
      <c r="AU395" s="60"/>
      <c r="AV395" s="64"/>
      <c r="AW395" s="55">
        <f t="shared" si="33"/>
        <v>0</v>
      </c>
      <c r="AX395" s="55">
        <f t="shared" si="34"/>
        <v>161562000</v>
      </c>
      <c r="AY395" s="55">
        <f t="shared" si="35"/>
        <v>0</v>
      </c>
      <c r="AZ395" s="55">
        <f t="shared" si="36"/>
        <v>203590666.66666666</v>
      </c>
      <c r="BA395" s="55">
        <f t="shared" si="37"/>
        <v>365152666.66666663</v>
      </c>
      <c r="BB395" s="32"/>
      <c r="BC395" s="32"/>
      <c r="BD395" s="32"/>
      <c r="BE395" s="32"/>
      <c r="BF395" s="32"/>
      <c r="BG395" s="32"/>
      <c r="BH395" s="32"/>
      <c r="BI395" s="32"/>
      <c r="BJ395" s="32"/>
      <c r="BK395" s="32"/>
      <c r="BL395" s="32"/>
      <c r="BM395" s="32"/>
      <c r="BN395" s="32"/>
      <c r="BO395" s="32"/>
      <c r="BP395" s="32"/>
      <c r="BQ395" s="32"/>
      <c r="BR395" s="32"/>
      <c r="BS395" s="32"/>
      <c r="BT395" s="32"/>
      <c r="BU395" s="32"/>
      <c r="BV395" s="32"/>
      <c r="BW395" s="32"/>
      <c r="BX395" s="32"/>
      <c r="BY395" s="32"/>
      <c r="BZ395" s="32"/>
      <c r="CA395" s="32"/>
      <c r="CB395" s="32"/>
      <c r="CC395" s="32"/>
      <c r="CD395" s="32"/>
      <c r="CE395" s="32"/>
      <c r="CF395" s="32"/>
      <c r="CG395" s="32"/>
      <c r="CH395" s="32"/>
      <c r="CI395" s="32"/>
      <c r="CJ395" s="32"/>
      <c r="CK395" s="32"/>
      <c r="CL395" s="32"/>
      <c r="CM395" s="32"/>
      <c r="CN395" s="32"/>
      <c r="CO395" s="32"/>
      <c r="CP395" s="32"/>
      <c r="CQ395" s="32"/>
      <c r="CR395" s="32"/>
      <c r="CS395" s="32"/>
      <c r="CT395" s="32"/>
      <c r="CU395" s="32"/>
      <c r="CV395" s="32"/>
      <c r="CW395" s="32"/>
      <c r="CX395" s="32"/>
      <c r="CY395" s="32"/>
      <c r="CZ395" s="32"/>
      <c r="DA395" s="32"/>
      <c r="DB395" s="32"/>
      <c r="DC395" s="32"/>
      <c r="DD395" s="32"/>
      <c r="DE395" s="32"/>
      <c r="DF395" s="32"/>
      <c r="DG395" s="32"/>
      <c r="DH395" s="32"/>
      <c r="DI395" s="32"/>
      <c r="DJ395" s="32"/>
      <c r="DK395" s="32"/>
      <c r="DL395" s="32"/>
      <c r="DM395" s="32"/>
      <c r="DN395" s="32"/>
      <c r="DO395" s="32"/>
      <c r="DP395" s="32"/>
      <c r="DQ395" s="32"/>
      <c r="DR395" s="32"/>
      <c r="DS395" s="32"/>
      <c r="DT395" s="32"/>
      <c r="DU395" s="32"/>
      <c r="DV395" s="32"/>
      <c r="DW395" s="32"/>
      <c r="DX395" s="32"/>
      <c r="DY395" s="32"/>
      <c r="DZ395" s="32"/>
      <c r="EA395" s="32"/>
      <c r="EB395" s="32"/>
      <c r="EC395" s="32"/>
    </row>
    <row r="396" spans="1:133" s="13" customFormat="1" ht="110.25" x14ac:dyDescent="0.25">
      <c r="A396" s="130" t="s">
        <v>533</v>
      </c>
      <c r="B396" s="132" t="s">
        <v>745</v>
      </c>
      <c r="C396" s="118" t="s">
        <v>764</v>
      </c>
      <c r="D396" s="127" t="s">
        <v>765</v>
      </c>
      <c r="E396" s="127" t="s">
        <v>766</v>
      </c>
      <c r="F396" s="127" t="s">
        <v>767</v>
      </c>
      <c r="G396" s="122" t="s">
        <v>801</v>
      </c>
      <c r="H396" s="122" t="s">
        <v>1526</v>
      </c>
      <c r="I396" s="103" t="s">
        <v>802</v>
      </c>
      <c r="J396" s="103" t="s">
        <v>1682</v>
      </c>
      <c r="K396" s="178">
        <v>0</v>
      </c>
      <c r="L396" s="179">
        <v>100</v>
      </c>
      <c r="M396" s="56" t="s">
        <v>1142</v>
      </c>
      <c r="N396" s="56" t="s">
        <v>369</v>
      </c>
      <c r="O396" s="54" t="s">
        <v>193</v>
      </c>
      <c r="P396" s="58" t="s">
        <v>39</v>
      </c>
      <c r="Q396" s="171" t="s">
        <v>1680</v>
      </c>
      <c r="R396" s="182">
        <v>0</v>
      </c>
      <c r="S396" s="178">
        <v>35</v>
      </c>
      <c r="T396" s="178">
        <v>40</v>
      </c>
      <c r="U396" s="183">
        <v>25</v>
      </c>
      <c r="V396" s="59"/>
      <c r="W396" s="60"/>
      <c r="X396" s="60"/>
      <c r="Y396" s="60"/>
      <c r="Z396" s="60"/>
      <c r="AA396" s="61"/>
      <c r="AB396" s="62">
        <v>110000000</v>
      </c>
      <c r="AC396" s="60"/>
      <c r="AD396" s="60"/>
      <c r="AE396" s="60"/>
      <c r="AF396" s="60"/>
      <c r="AG396" s="60"/>
      <c r="AH396" s="63"/>
      <c r="AI396" s="62">
        <v>280000000</v>
      </c>
      <c r="AJ396" s="60"/>
      <c r="AK396" s="60"/>
      <c r="AL396" s="60"/>
      <c r="AM396" s="60"/>
      <c r="AN396" s="60"/>
      <c r="AO396" s="63"/>
      <c r="AP396" s="62">
        <v>160000000</v>
      </c>
      <c r="AQ396" s="60"/>
      <c r="AR396" s="60"/>
      <c r="AS396" s="60"/>
      <c r="AT396" s="60"/>
      <c r="AU396" s="60"/>
      <c r="AV396" s="64"/>
      <c r="AW396" s="55">
        <f t="shared" si="33"/>
        <v>0</v>
      </c>
      <c r="AX396" s="55">
        <f t="shared" si="34"/>
        <v>110000000</v>
      </c>
      <c r="AY396" s="55">
        <f t="shared" si="35"/>
        <v>280000000</v>
      </c>
      <c r="AZ396" s="55">
        <f t="shared" si="36"/>
        <v>160000000</v>
      </c>
      <c r="BA396" s="55">
        <f t="shared" si="37"/>
        <v>550000000</v>
      </c>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row>
    <row r="397" spans="1:133" s="13" customFormat="1" ht="126" x14ac:dyDescent="0.25">
      <c r="A397" s="130" t="s">
        <v>533</v>
      </c>
      <c r="B397" s="132" t="s">
        <v>745</v>
      </c>
      <c r="C397" s="118" t="s">
        <v>764</v>
      </c>
      <c r="D397" s="127" t="s">
        <v>765</v>
      </c>
      <c r="E397" s="127" t="s">
        <v>766</v>
      </c>
      <c r="F397" s="127" t="s">
        <v>767</v>
      </c>
      <c r="G397" s="122" t="s">
        <v>801</v>
      </c>
      <c r="H397" s="122" t="s">
        <v>1527</v>
      </c>
      <c r="I397" s="103" t="s">
        <v>804</v>
      </c>
      <c r="J397" s="103" t="s">
        <v>1682</v>
      </c>
      <c r="K397" s="178">
        <v>100</v>
      </c>
      <c r="L397" s="179">
        <v>100</v>
      </c>
      <c r="M397" s="56" t="s">
        <v>1142</v>
      </c>
      <c r="N397" s="56" t="s">
        <v>369</v>
      </c>
      <c r="O397" s="54" t="s">
        <v>193</v>
      </c>
      <c r="P397" s="58" t="s">
        <v>39</v>
      </c>
      <c r="Q397" s="171" t="s">
        <v>1679</v>
      </c>
      <c r="R397" s="182">
        <v>0</v>
      </c>
      <c r="S397" s="178">
        <v>50</v>
      </c>
      <c r="T397" s="178">
        <v>100</v>
      </c>
      <c r="U397" s="183">
        <v>0</v>
      </c>
      <c r="V397" s="59"/>
      <c r="W397" s="60"/>
      <c r="X397" s="60"/>
      <c r="Y397" s="60"/>
      <c r="Z397" s="60"/>
      <c r="AA397" s="61"/>
      <c r="AB397" s="62">
        <v>1350000000</v>
      </c>
      <c r="AC397" s="60"/>
      <c r="AD397" s="60"/>
      <c r="AE397" s="60"/>
      <c r="AF397" s="60"/>
      <c r="AG397" s="60"/>
      <c r="AH397" s="63"/>
      <c r="AI397" s="62">
        <v>1350000000</v>
      </c>
      <c r="AJ397" s="60"/>
      <c r="AK397" s="60"/>
      <c r="AL397" s="60"/>
      <c r="AM397" s="60"/>
      <c r="AN397" s="60"/>
      <c r="AO397" s="63"/>
      <c r="AP397" s="62"/>
      <c r="AQ397" s="60"/>
      <c r="AR397" s="60"/>
      <c r="AS397" s="60"/>
      <c r="AT397" s="60"/>
      <c r="AU397" s="60"/>
      <c r="AV397" s="64"/>
      <c r="AW397" s="55">
        <f t="shared" si="33"/>
        <v>0</v>
      </c>
      <c r="AX397" s="55">
        <f t="shared" si="34"/>
        <v>1350000000</v>
      </c>
      <c r="AY397" s="55">
        <f t="shared" si="35"/>
        <v>1350000000</v>
      </c>
      <c r="AZ397" s="55">
        <f t="shared" si="36"/>
        <v>0</v>
      </c>
      <c r="BA397" s="55">
        <f t="shared" si="37"/>
        <v>2700000000</v>
      </c>
      <c r="BB397" s="32"/>
      <c r="BC397" s="32"/>
      <c r="BD397" s="32"/>
      <c r="BE397" s="32"/>
      <c r="BF397" s="32"/>
      <c r="BG397" s="32"/>
      <c r="BH397" s="32"/>
      <c r="BI397" s="32"/>
      <c r="BJ397" s="32"/>
      <c r="BK397" s="32"/>
      <c r="BL397" s="32"/>
      <c r="BM397" s="32"/>
      <c r="BN397" s="32"/>
      <c r="BO397" s="32"/>
      <c r="BP397" s="32"/>
      <c r="BQ397" s="32"/>
      <c r="BR397" s="32"/>
      <c r="BS397" s="32"/>
      <c r="BT397" s="32"/>
      <c r="BU397" s="32"/>
      <c r="BV397" s="32"/>
      <c r="BW397" s="32"/>
      <c r="BX397" s="32"/>
      <c r="BY397" s="32"/>
      <c r="BZ397" s="32"/>
      <c r="CA397" s="32"/>
      <c r="CB397" s="32"/>
      <c r="CC397" s="32"/>
      <c r="CD397" s="32"/>
      <c r="CE397" s="32"/>
      <c r="CF397" s="32"/>
      <c r="CG397" s="32"/>
      <c r="CH397" s="32"/>
      <c r="CI397" s="32"/>
      <c r="CJ397" s="32"/>
      <c r="CK397" s="32"/>
      <c r="CL397" s="32"/>
      <c r="CM397" s="32"/>
      <c r="CN397" s="32"/>
      <c r="CO397" s="32"/>
      <c r="CP397" s="32"/>
      <c r="CQ397" s="32"/>
      <c r="CR397" s="32"/>
      <c r="CS397" s="32"/>
      <c r="CT397" s="32"/>
      <c r="CU397" s="32"/>
      <c r="CV397" s="32"/>
      <c r="CW397" s="32"/>
      <c r="CX397" s="32"/>
      <c r="CY397" s="32"/>
      <c r="CZ397" s="32"/>
      <c r="DA397" s="32"/>
      <c r="DB397" s="32"/>
      <c r="DC397" s="32"/>
      <c r="DD397" s="32"/>
      <c r="DE397" s="32"/>
      <c r="DF397" s="32"/>
      <c r="DG397" s="32"/>
      <c r="DH397" s="32"/>
      <c r="DI397" s="32"/>
      <c r="DJ397" s="32"/>
      <c r="DK397" s="32"/>
      <c r="DL397" s="32"/>
      <c r="DM397" s="32"/>
      <c r="DN397" s="32"/>
      <c r="DO397" s="32"/>
      <c r="DP397" s="32"/>
      <c r="DQ397" s="32"/>
      <c r="DR397" s="32"/>
      <c r="DS397" s="32"/>
      <c r="DT397" s="32"/>
      <c r="DU397" s="32"/>
      <c r="DV397" s="32"/>
      <c r="DW397" s="32"/>
      <c r="DX397" s="32"/>
      <c r="DY397" s="32"/>
      <c r="DZ397" s="32"/>
      <c r="EA397" s="32"/>
      <c r="EB397" s="32"/>
      <c r="EC397" s="32"/>
    </row>
    <row r="398" spans="1:133" s="13" customFormat="1" ht="110.25" x14ac:dyDescent="0.25">
      <c r="A398" s="130" t="s">
        <v>533</v>
      </c>
      <c r="B398" s="132" t="s">
        <v>745</v>
      </c>
      <c r="C398" s="118" t="s">
        <v>764</v>
      </c>
      <c r="D398" s="127" t="s">
        <v>765</v>
      </c>
      <c r="E398" s="127" t="s">
        <v>766</v>
      </c>
      <c r="F398" s="127" t="s">
        <v>767</v>
      </c>
      <c r="G398" s="122" t="s">
        <v>801</v>
      </c>
      <c r="H398" s="122" t="s">
        <v>1528</v>
      </c>
      <c r="I398" s="103" t="s">
        <v>805</v>
      </c>
      <c r="J398" s="103" t="s">
        <v>1683</v>
      </c>
      <c r="K398" s="56">
        <v>0</v>
      </c>
      <c r="L398" s="86">
        <v>4</v>
      </c>
      <c r="M398" s="56" t="s">
        <v>1142</v>
      </c>
      <c r="N398" s="56" t="s">
        <v>369</v>
      </c>
      <c r="O398" s="54" t="s">
        <v>193</v>
      </c>
      <c r="P398" s="58" t="s">
        <v>39</v>
      </c>
      <c r="Q398" s="171" t="s">
        <v>1680</v>
      </c>
      <c r="R398" s="182">
        <v>0</v>
      </c>
      <c r="S398" s="178">
        <v>1</v>
      </c>
      <c r="T398" s="178">
        <v>2</v>
      </c>
      <c r="U398" s="183">
        <v>1</v>
      </c>
      <c r="V398" s="59"/>
      <c r="W398" s="60"/>
      <c r="X398" s="60"/>
      <c r="Y398" s="60"/>
      <c r="Z398" s="60"/>
      <c r="AA398" s="61"/>
      <c r="AB398" s="62">
        <v>250000000</v>
      </c>
      <c r="AC398" s="60"/>
      <c r="AD398" s="60"/>
      <c r="AE398" s="60"/>
      <c r="AF398" s="60"/>
      <c r="AG398" s="60"/>
      <c r="AH398" s="63"/>
      <c r="AI398" s="62">
        <v>500000000</v>
      </c>
      <c r="AJ398" s="60"/>
      <c r="AK398" s="60"/>
      <c r="AL398" s="60"/>
      <c r="AM398" s="60"/>
      <c r="AN398" s="60"/>
      <c r="AO398" s="63"/>
      <c r="AP398" s="62">
        <v>250000000</v>
      </c>
      <c r="AQ398" s="60"/>
      <c r="AR398" s="60"/>
      <c r="AS398" s="60"/>
      <c r="AT398" s="60"/>
      <c r="AU398" s="60"/>
      <c r="AV398" s="64"/>
      <c r="AW398" s="55">
        <f t="shared" si="33"/>
        <v>0</v>
      </c>
      <c r="AX398" s="55">
        <f t="shared" si="34"/>
        <v>250000000</v>
      </c>
      <c r="AY398" s="55">
        <f t="shared" si="35"/>
        <v>500000000</v>
      </c>
      <c r="AZ398" s="55">
        <f t="shared" si="36"/>
        <v>250000000</v>
      </c>
      <c r="BA398" s="55">
        <f t="shared" si="37"/>
        <v>1000000000</v>
      </c>
      <c r="BB398" s="32"/>
      <c r="BC398" s="32"/>
      <c r="BD398" s="32"/>
      <c r="BE398" s="32"/>
      <c r="BF398" s="32"/>
      <c r="BG398" s="32"/>
      <c r="BH398" s="32"/>
      <c r="BI398" s="32"/>
      <c r="BJ398" s="32"/>
      <c r="BK398" s="32"/>
      <c r="BL398" s="32"/>
      <c r="BM398" s="32"/>
      <c r="BN398" s="32"/>
      <c r="BO398" s="32"/>
      <c r="BP398" s="32"/>
      <c r="BQ398" s="32"/>
      <c r="BR398" s="32"/>
      <c r="BS398" s="32"/>
      <c r="BT398" s="32"/>
      <c r="BU398" s="32"/>
      <c r="BV398" s="32"/>
      <c r="BW398" s="32"/>
      <c r="BX398" s="32"/>
      <c r="BY398" s="32"/>
      <c r="BZ398" s="32"/>
      <c r="CA398" s="32"/>
      <c r="CB398" s="32"/>
      <c r="CC398" s="32"/>
      <c r="CD398" s="32"/>
      <c r="CE398" s="32"/>
      <c r="CF398" s="32"/>
      <c r="CG398" s="32"/>
      <c r="CH398" s="32"/>
      <c r="CI398" s="32"/>
      <c r="CJ398" s="32"/>
      <c r="CK398" s="32"/>
      <c r="CL398" s="32"/>
      <c r="CM398" s="32"/>
      <c r="CN398" s="32"/>
      <c r="CO398" s="32"/>
      <c r="CP398" s="32"/>
      <c r="CQ398" s="32"/>
      <c r="CR398" s="32"/>
      <c r="CS398" s="32"/>
      <c r="CT398" s="32"/>
      <c r="CU398" s="32"/>
      <c r="CV398" s="32"/>
      <c r="CW398" s="32"/>
      <c r="CX398" s="32"/>
      <c r="CY398" s="32"/>
      <c r="CZ398" s="32"/>
      <c r="DA398" s="32"/>
      <c r="DB398" s="32"/>
      <c r="DC398" s="32"/>
      <c r="DD398" s="32"/>
      <c r="DE398" s="32"/>
      <c r="DF398" s="32"/>
      <c r="DG398" s="32"/>
      <c r="DH398" s="32"/>
      <c r="DI398" s="32"/>
      <c r="DJ398" s="32"/>
      <c r="DK398" s="32"/>
      <c r="DL398" s="32"/>
      <c r="DM398" s="32"/>
      <c r="DN398" s="32"/>
      <c r="DO398" s="32"/>
      <c r="DP398" s="32"/>
      <c r="DQ398" s="32"/>
      <c r="DR398" s="32"/>
      <c r="DS398" s="32"/>
      <c r="DT398" s="32"/>
      <c r="DU398" s="32"/>
      <c r="DV398" s="32"/>
      <c r="DW398" s="32"/>
      <c r="DX398" s="32"/>
      <c r="DY398" s="32"/>
      <c r="DZ398" s="32"/>
      <c r="EA398" s="32"/>
      <c r="EB398" s="32"/>
      <c r="EC398" s="32"/>
    </row>
    <row r="399" spans="1:133" s="13" customFormat="1" ht="110.25" x14ac:dyDescent="0.25">
      <c r="A399" s="130" t="s">
        <v>533</v>
      </c>
      <c r="B399" s="132" t="s">
        <v>745</v>
      </c>
      <c r="C399" s="118" t="s">
        <v>764</v>
      </c>
      <c r="D399" s="127" t="s">
        <v>765</v>
      </c>
      <c r="E399" s="127" t="s">
        <v>766</v>
      </c>
      <c r="F399" s="127" t="s">
        <v>767</v>
      </c>
      <c r="G399" s="122" t="s">
        <v>801</v>
      </c>
      <c r="H399" s="122" t="s">
        <v>1529</v>
      </c>
      <c r="I399" s="103" t="s">
        <v>806</v>
      </c>
      <c r="J399" s="103" t="s">
        <v>1683</v>
      </c>
      <c r="K399" s="56">
        <v>0</v>
      </c>
      <c r="L399" s="86">
        <v>4</v>
      </c>
      <c r="M399" s="56" t="s">
        <v>1142</v>
      </c>
      <c r="N399" s="56" t="s">
        <v>369</v>
      </c>
      <c r="O399" s="54" t="s">
        <v>193</v>
      </c>
      <c r="P399" s="58" t="s">
        <v>39</v>
      </c>
      <c r="Q399" s="171" t="s">
        <v>1680</v>
      </c>
      <c r="R399" s="182">
        <v>0</v>
      </c>
      <c r="S399" s="178">
        <v>2</v>
      </c>
      <c r="T399" s="178">
        <v>2</v>
      </c>
      <c r="U399" s="183">
        <v>0</v>
      </c>
      <c r="V399" s="59"/>
      <c r="W399" s="60"/>
      <c r="X399" s="60"/>
      <c r="Y399" s="60"/>
      <c r="Z399" s="60"/>
      <c r="AA399" s="61"/>
      <c r="AB399" s="62">
        <v>375000000</v>
      </c>
      <c r="AC399" s="60"/>
      <c r="AD399" s="60"/>
      <c r="AE399" s="60"/>
      <c r="AF399" s="60"/>
      <c r="AG399" s="60"/>
      <c r="AH399" s="63"/>
      <c r="AI399" s="62">
        <v>375000000</v>
      </c>
      <c r="AJ399" s="60"/>
      <c r="AK399" s="60"/>
      <c r="AL399" s="60"/>
      <c r="AM399" s="60"/>
      <c r="AN399" s="60"/>
      <c r="AO399" s="63"/>
      <c r="AP399" s="62"/>
      <c r="AQ399" s="60"/>
      <c r="AR399" s="60"/>
      <c r="AS399" s="60"/>
      <c r="AT399" s="60"/>
      <c r="AU399" s="60"/>
      <c r="AV399" s="64"/>
      <c r="AW399" s="55">
        <f t="shared" si="33"/>
        <v>0</v>
      </c>
      <c r="AX399" s="55">
        <f t="shared" si="34"/>
        <v>375000000</v>
      </c>
      <c r="AY399" s="55">
        <f t="shared" si="35"/>
        <v>375000000</v>
      </c>
      <c r="AZ399" s="55">
        <f t="shared" si="36"/>
        <v>0</v>
      </c>
      <c r="BA399" s="55">
        <f t="shared" si="37"/>
        <v>750000000</v>
      </c>
      <c r="BB399" s="32"/>
      <c r="BC399" s="32"/>
      <c r="BD399" s="32"/>
      <c r="BE399" s="32"/>
      <c r="BF399" s="32"/>
      <c r="BG399" s="32"/>
      <c r="BH399" s="32"/>
      <c r="BI399" s="32"/>
      <c r="BJ399" s="32"/>
      <c r="BK399" s="32"/>
      <c r="BL399" s="32"/>
      <c r="BM399" s="32"/>
      <c r="BN399" s="32"/>
      <c r="BO399" s="32"/>
      <c r="BP399" s="32"/>
      <c r="BQ399" s="32"/>
      <c r="BR399" s="32"/>
      <c r="BS399" s="32"/>
      <c r="BT399" s="32"/>
      <c r="BU399" s="32"/>
      <c r="BV399" s="32"/>
      <c r="BW399" s="32"/>
      <c r="BX399" s="32"/>
      <c r="BY399" s="32"/>
      <c r="BZ399" s="32"/>
      <c r="CA399" s="32"/>
      <c r="CB399" s="32"/>
      <c r="CC399" s="32"/>
      <c r="CD399" s="32"/>
      <c r="CE399" s="32"/>
      <c r="CF399" s="32"/>
      <c r="CG399" s="32"/>
      <c r="CH399" s="32"/>
      <c r="CI399" s="32"/>
      <c r="CJ399" s="32"/>
      <c r="CK399" s="32"/>
      <c r="CL399" s="32"/>
      <c r="CM399" s="32"/>
      <c r="CN399" s="32"/>
      <c r="CO399" s="32"/>
      <c r="CP399" s="32"/>
      <c r="CQ399" s="32"/>
      <c r="CR399" s="32"/>
      <c r="CS399" s="32"/>
      <c r="CT399" s="32"/>
      <c r="CU399" s="32"/>
      <c r="CV399" s="32"/>
      <c r="CW399" s="32"/>
      <c r="CX399" s="32"/>
      <c r="CY399" s="32"/>
      <c r="CZ399" s="32"/>
      <c r="DA399" s="32"/>
      <c r="DB399" s="32"/>
      <c r="DC399" s="32"/>
      <c r="DD399" s="32"/>
      <c r="DE399" s="32"/>
      <c r="DF399" s="32"/>
      <c r="DG399" s="32"/>
      <c r="DH399" s="32"/>
      <c r="DI399" s="32"/>
      <c r="DJ399" s="32"/>
      <c r="DK399" s="32"/>
      <c r="DL399" s="32"/>
      <c r="DM399" s="32"/>
      <c r="DN399" s="32"/>
      <c r="DO399" s="32"/>
      <c r="DP399" s="32"/>
      <c r="DQ399" s="32"/>
      <c r="DR399" s="32"/>
      <c r="DS399" s="32"/>
      <c r="DT399" s="32"/>
      <c r="DU399" s="32"/>
      <c r="DV399" s="32"/>
      <c r="DW399" s="32"/>
      <c r="DX399" s="32"/>
      <c r="DY399" s="32"/>
      <c r="DZ399" s="32"/>
      <c r="EA399" s="32"/>
      <c r="EB399" s="32"/>
      <c r="EC399" s="32"/>
    </row>
    <row r="400" spans="1:133" s="13" customFormat="1" ht="110.25" x14ac:dyDescent="0.25">
      <c r="A400" s="130" t="s">
        <v>533</v>
      </c>
      <c r="B400" s="132" t="s">
        <v>745</v>
      </c>
      <c r="C400" s="118" t="s">
        <v>764</v>
      </c>
      <c r="D400" s="127" t="s">
        <v>765</v>
      </c>
      <c r="E400" s="127" t="s">
        <v>766</v>
      </c>
      <c r="F400" s="127" t="s">
        <v>767</v>
      </c>
      <c r="G400" s="122" t="s">
        <v>801</v>
      </c>
      <c r="H400" s="122" t="s">
        <v>1530</v>
      </c>
      <c r="I400" s="103" t="s">
        <v>807</v>
      </c>
      <c r="J400" s="103" t="s">
        <v>1682</v>
      </c>
      <c r="K400" s="178">
        <v>100</v>
      </c>
      <c r="L400" s="179">
        <v>100</v>
      </c>
      <c r="M400" s="56" t="s">
        <v>1142</v>
      </c>
      <c r="N400" s="56" t="s">
        <v>369</v>
      </c>
      <c r="O400" s="54" t="s">
        <v>193</v>
      </c>
      <c r="P400" s="58" t="s">
        <v>42</v>
      </c>
      <c r="Q400" s="54" t="s">
        <v>1679</v>
      </c>
      <c r="R400" s="182">
        <v>100</v>
      </c>
      <c r="S400" s="178">
        <v>100</v>
      </c>
      <c r="T400" s="178">
        <v>100</v>
      </c>
      <c r="U400" s="183">
        <v>100</v>
      </c>
      <c r="V400" s="59">
        <v>183744740</v>
      </c>
      <c r="W400" s="60"/>
      <c r="X400" s="60"/>
      <c r="Y400" s="60"/>
      <c r="Z400" s="60"/>
      <c r="AA400" s="61"/>
      <c r="AB400" s="62">
        <v>183744740</v>
      </c>
      <c r="AC400" s="60"/>
      <c r="AD400" s="60"/>
      <c r="AE400" s="60"/>
      <c r="AF400" s="60"/>
      <c r="AG400" s="60"/>
      <c r="AH400" s="63"/>
      <c r="AI400" s="62">
        <v>183744740</v>
      </c>
      <c r="AJ400" s="60"/>
      <c r="AK400" s="60"/>
      <c r="AL400" s="60"/>
      <c r="AM400" s="60"/>
      <c r="AN400" s="60"/>
      <c r="AO400" s="63"/>
      <c r="AP400" s="62">
        <v>183744740</v>
      </c>
      <c r="AQ400" s="60"/>
      <c r="AR400" s="60"/>
      <c r="AS400" s="60"/>
      <c r="AT400" s="60"/>
      <c r="AU400" s="60"/>
      <c r="AV400" s="64"/>
      <c r="AW400" s="55">
        <f t="shared" si="33"/>
        <v>183744740</v>
      </c>
      <c r="AX400" s="55">
        <f t="shared" si="34"/>
        <v>183744740</v>
      </c>
      <c r="AY400" s="55">
        <f t="shared" si="35"/>
        <v>183744740</v>
      </c>
      <c r="AZ400" s="55">
        <f t="shared" si="36"/>
        <v>183744740</v>
      </c>
      <c r="BA400" s="55">
        <f t="shared" si="37"/>
        <v>734978960</v>
      </c>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c r="CP400" s="4"/>
      <c r="CQ400" s="4"/>
      <c r="CR400" s="4"/>
      <c r="CS400" s="4"/>
      <c r="CT400" s="4"/>
      <c r="CU400" s="4"/>
      <c r="CV400" s="4"/>
      <c r="CW400" s="4"/>
      <c r="CX400" s="4"/>
      <c r="CY400" s="4"/>
      <c r="CZ400" s="4"/>
      <c r="DA400" s="4"/>
      <c r="DB400" s="4"/>
      <c r="DC400" s="4"/>
      <c r="DD400" s="4"/>
      <c r="DE400" s="4"/>
      <c r="DF400" s="4"/>
      <c r="DG400" s="4"/>
      <c r="DH400" s="4"/>
      <c r="DI400" s="4"/>
      <c r="DJ400" s="4"/>
      <c r="DK400" s="4"/>
      <c r="DL400" s="4"/>
      <c r="DM400" s="4"/>
      <c r="DN400" s="4"/>
      <c r="DO400" s="4"/>
      <c r="DP400" s="4"/>
      <c r="DQ400" s="4"/>
      <c r="DR400" s="4"/>
      <c r="DS400" s="4"/>
      <c r="DT400" s="4"/>
      <c r="DU400" s="4"/>
      <c r="DV400" s="4"/>
      <c r="DW400" s="4"/>
      <c r="DX400" s="4"/>
      <c r="DY400" s="4"/>
      <c r="DZ400" s="4"/>
      <c r="EA400" s="4"/>
      <c r="EB400" s="4"/>
      <c r="EC400" s="4"/>
    </row>
    <row r="401" spans="1:133" s="13" customFormat="1" ht="110.25" x14ac:dyDescent="0.25">
      <c r="A401" s="130" t="s">
        <v>533</v>
      </c>
      <c r="B401" s="132" t="s">
        <v>745</v>
      </c>
      <c r="C401" s="118" t="s">
        <v>764</v>
      </c>
      <c r="D401" s="127" t="s">
        <v>765</v>
      </c>
      <c r="E401" s="127" t="s">
        <v>766</v>
      </c>
      <c r="F401" s="127" t="s">
        <v>767</v>
      </c>
      <c r="G401" s="123" t="s">
        <v>808</v>
      </c>
      <c r="H401" s="123" t="s">
        <v>1531</v>
      </c>
      <c r="I401" s="103" t="s">
        <v>809</v>
      </c>
      <c r="J401" s="103" t="s">
        <v>1682</v>
      </c>
      <c r="K401" s="56" t="s">
        <v>41</v>
      </c>
      <c r="L401" s="179">
        <v>100</v>
      </c>
      <c r="M401" s="56" t="s">
        <v>776</v>
      </c>
      <c r="N401" s="56" t="s">
        <v>369</v>
      </c>
      <c r="O401" s="54" t="s">
        <v>193</v>
      </c>
      <c r="P401" s="58" t="s">
        <v>39</v>
      </c>
      <c r="Q401" s="171" t="s">
        <v>1679</v>
      </c>
      <c r="R401" s="182">
        <v>10</v>
      </c>
      <c r="S401" s="178">
        <v>50</v>
      </c>
      <c r="T401" s="178">
        <v>100</v>
      </c>
      <c r="U401" s="183">
        <v>0</v>
      </c>
      <c r="V401" s="59">
        <v>167880000</v>
      </c>
      <c r="W401" s="60"/>
      <c r="X401" s="60"/>
      <c r="Y401" s="60"/>
      <c r="Z401" s="60"/>
      <c r="AA401" s="61"/>
      <c r="AB401" s="62">
        <v>174259440</v>
      </c>
      <c r="AC401" s="60"/>
      <c r="AD401" s="60"/>
      <c r="AE401" s="60"/>
      <c r="AF401" s="60"/>
      <c r="AG401" s="60"/>
      <c r="AH401" s="63"/>
      <c r="AI401" s="62">
        <v>180881298</v>
      </c>
      <c r="AJ401" s="60"/>
      <c r="AK401" s="60"/>
      <c r="AL401" s="60"/>
      <c r="AM401" s="60"/>
      <c r="AN401" s="60"/>
      <c r="AO401" s="63"/>
      <c r="AP401" s="62">
        <v>0</v>
      </c>
      <c r="AQ401" s="60"/>
      <c r="AR401" s="60"/>
      <c r="AS401" s="60"/>
      <c r="AT401" s="60"/>
      <c r="AU401" s="60"/>
      <c r="AV401" s="64"/>
      <c r="AW401" s="55">
        <f t="shared" si="33"/>
        <v>167880000</v>
      </c>
      <c r="AX401" s="55">
        <f t="shared" si="34"/>
        <v>174259440</v>
      </c>
      <c r="AY401" s="55">
        <f t="shared" si="35"/>
        <v>180881298</v>
      </c>
      <c r="AZ401" s="55">
        <f t="shared" si="36"/>
        <v>0</v>
      </c>
      <c r="BA401" s="55">
        <f t="shared" si="37"/>
        <v>523020738</v>
      </c>
      <c r="BB401" s="32"/>
      <c r="BC401" s="32"/>
      <c r="BD401" s="32"/>
      <c r="BE401" s="32"/>
      <c r="BF401" s="32"/>
      <c r="BG401" s="32"/>
      <c r="BH401" s="32"/>
      <c r="BI401" s="32"/>
      <c r="BJ401" s="32"/>
      <c r="BK401" s="32"/>
      <c r="BL401" s="32"/>
      <c r="BM401" s="32"/>
      <c r="BN401" s="32"/>
      <c r="BO401" s="32"/>
      <c r="BP401" s="32"/>
      <c r="BQ401" s="32"/>
      <c r="BR401" s="32"/>
      <c r="BS401" s="32"/>
      <c r="BT401" s="32"/>
      <c r="BU401" s="32"/>
      <c r="BV401" s="32"/>
      <c r="BW401" s="32"/>
      <c r="BX401" s="32"/>
      <c r="BY401" s="32"/>
      <c r="BZ401" s="32"/>
      <c r="CA401" s="32"/>
      <c r="CB401" s="32"/>
      <c r="CC401" s="32"/>
      <c r="CD401" s="32"/>
      <c r="CE401" s="32"/>
      <c r="CF401" s="32"/>
      <c r="CG401" s="32"/>
      <c r="CH401" s="32"/>
      <c r="CI401" s="32"/>
      <c r="CJ401" s="32"/>
      <c r="CK401" s="32"/>
      <c r="CL401" s="32"/>
      <c r="CM401" s="32"/>
      <c r="CN401" s="32"/>
      <c r="CO401" s="32"/>
      <c r="CP401" s="32"/>
      <c r="CQ401" s="32"/>
      <c r="CR401" s="32"/>
      <c r="CS401" s="32"/>
      <c r="CT401" s="32"/>
      <c r="CU401" s="32"/>
      <c r="CV401" s="32"/>
      <c r="CW401" s="32"/>
      <c r="CX401" s="32"/>
      <c r="CY401" s="32"/>
      <c r="CZ401" s="32"/>
      <c r="DA401" s="32"/>
      <c r="DB401" s="32"/>
      <c r="DC401" s="32"/>
      <c r="DD401" s="32"/>
      <c r="DE401" s="32"/>
      <c r="DF401" s="32"/>
      <c r="DG401" s="32"/>
      <c r="DH401" s="32"/>
      <c r="DI401" s="32"/>
      <c r="DJ401" s="32"/>
      <c r="DK401" s="32"/>
      <c r="DL401" s="32"/>
      <c r="DM401" s="32"/>
      <c r="DN401" s="32"/>
      <c r="DO401" s="32"/>
      <c r="DP401" s="32"/>
      <c r="DQ401" s="32"/>
      <c r="DR401" s="32"/>
      <c r="DS401" s="32"/>
      <c r="DT401" s="32"/>
      <c r="DU401" s="32"/>
      <c r="DV401" s="32"/>
      <c r="DW401" s="32"/>
      <c r="DX401" s="32"/>
      <c r="DY401" s="32"/>
      <c r="DZ401" s="32"/>
      <c r="EA401" s="32"/>
      <c r="EB401" s="32"/>
      <c r="EC401" s="32"/>
    </row>
    <row r="402" spans="1:133" s="13" customFormat="1" ht="110.25" x14ac:dyDescent="0.25">
      <c r="A402" s="130" t="s">
        <v>533</v>
      </c>
      <c r="B402" s="132" t="s">
        <v>745</v>
      </c>
      <c r="C402" s="118" t="s">
        <v>764</v>
      </c>
      <c r="D402" s="127" t="s">
        <v>765</v>
      </c>
      <c r="E402" s="127" t="s">
        <v>766</v>
      </c>
      <c r="F402" s="127" t="s">
        <v>767</v>
      </c>
      <c r="G402" s="123" t="s">
        <v>808</v>
      </c>
      <c r="H402" s="123" t="s">
        <v>1532</v>
      </c>
      <c r="I402" s="103" t="s">
        <v>810</v>
      </c>
      <c r="J402" s="103" t="s">
        <v>1683</v>
      </c>
      <c r="K402" s="56">
        <v>0</v>
      </c>
      <c r="L402" s="86">
        <v>1</v>
      </c>
      <c r="M402" s="56" t="s">
        <v>776</v>
      </c>
      <c r="N402" s="56" t="s">
        <v>369</v>
      </c>
      <c r="O402" s="54" t="s">
        <v>193</v>
      </c>
      <c r="P402" s="58" t="s">
        <v>39</v>
      </c>
      <c r="Q402" s="171" t="s">
        <v>1680</v>
      </c>
      <c r="R402" s="182">
        <v>0</v>
      </c>
      <c r="S402" s="178">
        <v>1</v>
      </c>
      <c r="T402" s="178">
        <v>0</v>
      </c>
      <c r="U402" s="183">
        <v>0</v>
      </c>
      <c r="V402" s="59">
        <v>0</v>
      </c>
      <c r="W402" s="60"/>
      <c r="X402" s="60"/>
      <c r="Y402" s="60"/>
      <c r="Z402" s="60"/>
      <c r="AA402" s="61"/>
      <c r="AB402" s="62">
        <v>174259440</v>
      </c>
      <c r="AC402" s="60"/>
      <c r="AD402" s="60"/>
      <c r="AE402" s="60"/>
      <c r="AF402" s="60"/>
      <c r="AG402" s="60"/>
      <c r="AH402" s="63"/>
      <c r="AI402" s="62">
        <v>0</v>
      </c>
      <c r="AJ402" s="60"/>
      <c r="AK402" s="60"/>
      <c r="AL402" s="60"/>
      <c r="AM402" s="60"/>
      <c r="AN402" s="60"/>
      <c r="AO402" s="63"/>
      <c r="AP402" s="62">
        <v>0</v>
      </c>
      <c r="AQ402" s="60"/>
      <c r="AR402" s="60"/>
      <c r="AS402" s="60"/>
      <c r="AT402" s="60"/>
      <c r="AU402" s="60"/>
      <c r="AV402" s="64"/>
      <c r="AW402" s="55">
        <f t="shared" si="33"/>
        <v>0</v>
      </c>
      <c r="AX402" s="55">
        <f t="shared" si="34"/>
        <v>174259440</v>
      </c>
      <c r="AY402" s="55">
        <f t="shared" si="35"/>
        <v>0</v>
      </c>
      <c r="AZ402" s="55">
        <f t="shared" si="36"/>
        <v>0</v>
      </c>
      <c r="BA402" s="55">
        <f t="shared" si="37"/>
        <v>174259440</v>
      </c>
      <c r="BB402" s="32"/>
      <c r="BC402" s="32"/>
      <c r="BD402" s="32"/>
      <c r="BE402" s="32"/>
      <c r="BF402" s="32"/>
      <c r="BG402" s="32"/>
      <c r="BH402" s="32"/>
      <c r="BI402" s="32"/>
      <c r="BJ402" s="32"/>
      <c r="BK402" s="32"/>
      <c r="BL402" s="32"/>
      <c r="BM402" s="32"/>
      <c r="BN402" s="32"/>
      <c r="BO402" s="32"/>
      <c r="BP402" s="32"/>
      <c r="BQ402" s="32"/>
      <c r="BR402" s="32"/>
      <c r="BS402" s="32"/>
      <c r="BT402" s="32"/>
      <c r="BU402" s="32"/>
      <c r="BV402" s="32"/>
      <c r="BW402" s="32"/>
      <c r="BX402" s="32"/>
      <c r="BY402" s="32"/>
      <c r="BZ402" s="32"/>
      <c r="CA402" s="32"/>
      <c r="CB402" s="32"/>
      <c r="CC402" s="32"/>
      <c r="CD402" s="32"/>
      <c r="CE402" s="32"/>
      <c r="CF402" s="32"/>
      <c r="CG402" s="32"/>
      <c r="CH402" s="32"/>
      <c r="CI402" s="32"/>
      <c r="CJ402" s="32"/>
      <c r="CK402" s="32"/>
      <c r="CL402" s="32"/>
      <c r="CM402" s="32"/>
      <c r="CN402" s="32"/>
      <c r="CO402" s="32"/>
      <c r="CP402" s="32"/>
      <c r="CQ402" s="32"/>
      <c r="CR402" s="32"/>
      <c r="CS402" s="32"/>
      <c r="CT402" s="32"/>
      <c r="CU402" s="32"/>
      <c r="CV402" s="32"/>
      <c r="CW402" s="32"/>
      <c r="CX402" s="32"/>
      <c r="CY402" s="32"/>
      <c r="CZ402" s="32"/>
      <c r="DA402" s="32"/>
      <c r="DB402" s="32"/>
      <c r="DC402" s="32"/>
      <c r="DD402" s="32"/>
      <c r="DE402" s="32"/>
      <c r="DF402" s="32"/>
      <c r="DG402" s="32"/>
      <c r="DH402" s="32"/>
      <c r="DI402" s="32"/>
      <c r="DJ402" s="32"/>
      <c r="DK402" s="32"/>
      <c r="DL402" s="32"/>
      <c r="DM402" s="32"/>
      <c r="DN402" s="32"/>
      <c r="DO402" s="32"/>
      <c r="DP402" s="32"/>
      <c r="DQ402" s="32"/>
      <c r="DR402" s="32"/>
      <c r="DS402" s="32"/>
      <c r="DT402" s="32"/>
      <c r="DU402" s="32"/>
      <c r="DV402" s="32"/>
      <c r="DW402" s="32"/>
      <c r="DX402" s="32"/>
      <c r="DY402" s="32"/>
      <c r="DZ402" s="32"/>
      <c r="EA402" s="32"/>
      <c r="EB402" s="32"/>
      <c r="EC402" s="32"/>
    </row>
    <row r="403" spans="1:133" s="13" customFormat="1" ht="110.25" x14ac:dyDescent="0.25">
      <c r="A403" s="130" t="s">
        <v>533</v>
      </c>
      <c r="B403" s="132" t="s">
        <v>745</v>
      </c>
      <c r="C403" s="118" t="s">
        <v>764</v>
      </c>
      <c r="D403" s="127" t="s">
        <v>765</v>
      </c>
      <c r="E403" s="127" t="s">
        <v>766</v>
      </c>
      <c r="F403" s="127" t="s">
        <v>767</v>
      </c>
      <c r="G403" s="123" t="s">
        <v>808</v>
      </c>
      <c r="H403" s="123" t="s">
        <v>1533</v>
      </c>
      <c r="I403" s="103" t="s">
        <v>811</v>
      </c>
      <c r="J403" s="103" t="s">
        <v>1682</v>
      </c>
      <c r="K403" s="56" t="s">
        <v>90</v>
      </c>
      <c r="L403" s="179">
        <v>100</v>
      </c>
      <c r="M403" s="56" t="s">
        <v>776</v>
      </c>
      <c r="N403" s="56" t="s">
        <v>369</v>
      </c>
      <c r="O403" s="54" t="s">
        <v>193</v>
      </c>
      <c r="P403" s="58" t="s">
        <v>39</v>
      </c>
      <c r="Q403" s="171" t="s">
        <v>1679</v>
      </c>
      <c r="R403" s="182">
        <v>40</v>
      </c>
      <c r="S403" s="178">
        <v>60</v>
      </c>
      <c r="T403" s="178">
        <v>80</v>
      </c>
      <c r="U403" s="183">
        <v>100</v>
      </c>
      <c r="V403" s="59">
        <v>93600000</v>
      </c>
      <c r="W403" s="60"/>
      <c r="X403" s="60"/>
      <c r="Y403" s="60"/>
      <c r="Z403" s="60"/>
      <c r="AA403" s="61"/>
      <c r="AB403" s="62">
        <v>97156800</v>
      </c>
      <c r="AC403" s="60"/>
      <c r="AD403" s="60"/>
      <c r="AE403" s="60"/>
      <c r="AF403" s="60"/>
      <c r="AG403" s="60"/>
      <c r="AH403" s="63"/>
      <c r="AI403" s="62">
        <v>100848758</v>
      </c>
      <c r="AJ403" s="60"/>
      <c r="AK403" s="60"/>
      <c r="AL403" s="60"/>
      <c r="AM403" s="60"/>
      <c r="AN403" s="60"/>
      <c r="AO403" s="63"/>
      <c r="AP403" s="62">
        <v>104681011</v>
      </c>
      <c r="AQ403" s="60"/>
      <c r="AR403" s="60"/>
      <c r="AS403" s="60"/>
      <c r="AT403" s="60"/>
      <c r="AU403" s="60"/>
      <c r="AV403" s="64"/>
      <c r="AW403" s="55">
        <f t="shared" si="33"/>
        <v>93600000</v>
      </c>
      <c r="AX403" s="55">
        <f t="shared" si="34"/>
        <v>97156800</v>
      </c>
      <c r="AY403" s="55">
        <f t="shared" si="35"/>
        <v>100848758</v>
      </c>
      <c r="AZ403" s="55">
        <f t="shared" si="36"/>
        <v>104681011</v>
      </c>
      <c r="BA403" s="55">
        <f t="shared" si="37"/>
        <v>396286569</v>
      </c>
      <c r="BB403" s="32"/>
      <c r="BC403" s="32"/>
      <c r="BD403" s="32"/>
      <c r="BE403" s="32"/>
      <c r="BF403" s="32"/>
      <c r="BG403" s="32"/>
      <c r="BH403" s="32"/>
      <c r="BI403" s="32"/>
      <c r="BJ403" s="32"/>
      <c r="BK403" s="32"/>
      <c r="BL403" s="32"/>
      <c r="BM403" s="32"/>
      <c r="BN403" s="32"/>
      <c r="BO403" s="32"/>
      <c r="BP403" s="32"/>
      <c r="BQ403" s="32"/>
      <c r="BR403" s="32"/>
      <c r="BS403" s="32"/>
      <c r="BT403" s="32"/>
      <c r="BU403" s="32"/>
      <c r="BV403" s="32"/>
      <c r="BW403" s="32"/>
      <c r="BX403" s="32"/>
      <c r="BY403" s="32"/>
      <c r="BZ403" s="32"/>
      <c r="CA403" s="32"/>
      <c r="CB403" s="32"/>
      <c r="CC403" s="32"/>
      <c r="CD403" s="32"/>
      <c r="CE403" s="32"/>
      <c r="CF403" s="32"/>
      <c r="CG403" s="32"/>
      <c r="CH403" s="32"/>
      <c r="CI403" s="32"/>
      <c r="CJ403" s="32"/>
      <c r="CK403" s="32"/>
      <c r="CL403" s="32"/>
      <c r="CM403" s="32"/>
      <c r="CN403" s="32"/>
      <c r="CO403" s="32"/>
      <c r="CP403" s="32"/>
      <c r="CQ403" s="32"/>
      <c r="CR403" s="32"/>
      <c r="CS403" s="32"/>
      <c r="CT403" s="32"/>
      <c r="CU403" s="32"/>
      <c r="CV403" s="32"/>
      <c r="CW403" s="32"/>
      <c r="CX403" s="32"/>
      <c r="CY403" s="32"/>
      <c r="CZ403" s="32"/>
      <c r="DA403" s="32"/>
      <c r="DB403" s="32"/>
      <c r="DC403" s="32"/>
      <c r="DD403" s="32"/>
      <c r="DE403" s="32"/>
      <c r="DF403" s="32"/>
      <c r="DG403" s="32"/>
      <c r="DH403" s="32"/>
      <c r="DI403" s="32"/>
      <c r="DJ403" s="32"/>
      <c r="DK403" s="32"/>
      <c r="DL403" s="32"/>
      <c r="DM403" s="32"/>
      <c r="DN403" s="32"/>
      <c r="DO403" s="32"/>
      <c r="DP403" s="32"/>
      <c r="DQ403" s="32"/>
      <c r="DR403" s="32"/>
      <c r="DS403" s="32"/>
      <c r="DT403" s="32"/>
      <c r="DU403" s="32"/>
      <c r="DV403" s="32"/>
      <c r="DW403" s="32"/>
      <c r="DX403" s="32"/>
      <c r="DY403" s="32"/>
      <c r="DZ403" s="32"/>
      <c r="EA403" s="32"/>
      <c r="EB403" s="32"/>
      <c r="EC403" s="32"/>
    </row>
    <row r="404" spans="1:133" s="13" customFormat="1" ht="141.75" x14ac:dyDescent="0.25">
      <c r="A404" s="130" t="s">
        <v>533</v>
      </c>
      <c r="B404" s="132" t="s">
        <v>745</v>
      </c>
      <c r="C404" s="118" t="s">
        <v>764</v>
      </c>
      <c r="D404" s="127" t="s">
        <v>765</v>
      </c>
      <c r="E404" s="127" t="s">
        <v>766</v>
      </c>
      <c r="F404" s="127" t="s">
        <v>767</v>
      </c>
      <c r="G404" s="123" t="s">
        <v>812</v>
      </c>
      <c r="H404" s="123" t="s">
        <v>1534</v>
      </c>
      <c r="I404" s="103" t="s">
        <v>813</v>
      </c>
      <c r="J404" s="103" t="s">
        <v>1686</v>
      </c>
      <c r="K404" s="56">
        <v>30</v>
      </c>
      <c r="L404" s="86">
        <v>30</v>
      </c>
      <c r="M404" s="56" t="s">
        <v>814</v>
      </c>
      <c r="N404" s="56" t="s">
        <v>369</v>
      </c>
      <c r="O404" s="54" t="s">
        <v>193</v>
      </c>
      <c r="P404" s="88" t="s">
        <v>115</v>
      </c>
      <c r="Q404" s="168" t="s">
        <v>1679</v>
      </c>
      <c r="R404" s="182">
        <v>30</v>
      </c>
      <c r="S404" s="178">
        <v>30</v>
      </c>
      <c r="T404" s="178">
        <v>30</v>
      </c>
      <c r="U404" s="183">
        <v>30</v>
      </c>
      <c r="V404" s="59">
        <f>6380000000/6</f>
        <v>1063333333.3333334</v>
      </c>
      <c r="W404" s="60"/>
      <c r="X404" s="60"/>
      <c r="Y404" s="60"/>
      <c r="Z404" s="60"/>
      <c r="AA404" s="61"/>
      <c r="AB404" s="62">
        <f t="shared" ref="AB404:AB409" si="38">5686000000/6</f>
        <v>947666666.66666663</v>
      </c>
      <c r="AC404" s="60"/>
      <c r="AD404" s="60"/>
      <c r="AE404" s="60"/>
      <c r="AF404" s="60"/>
      <c r="AG404" s="60"/>
      <c r="AH404" s="63"/>
      <c r="AI404" s="62">
        <f t="shared" ref="AI404:AI409" si="39">5930000000/6</f>
        <v>988333333.33333337</v>
      </c>
      <c r="AJ404" s="60"/>
      <c r="AK404" s="60"/>
      <c r="AL404" s="60"/>
      <c r="AM404" s="60"/>
      <c r="AN404" s="60"/>
      <c r="AO404" s="63"/>
      <c r="AP404" s="62">
        <f t="shared" ref="AP404:AP409" si="40">6189000000/6</f>
        <v>1031500000</v>
      </c>
      <c r="AQ404" s="60"/>
      <c r="AR404" s="60"/>
      <c r="AS404" s="60"/>
      <c r="AT404" s="60"/>
      <c r="AU404" s="60"/>
      <c r="AV404" s="64"/>
      <c r="AW404" s="55">
        <f t="shared" si="33"/>
        <v>1063333333.3333334</v>
      </c>
      <c r="AX404" s="55">
        <f t="shared" si="34"/>
        <v>947666666.66666663</v>
      </c>
      <c r="AY404" s="55">
        <f t="shared" si="35"/>
        <v>988333333.33333337</v>
      </c>
      <c r="AZ404" s="55">
        <f t="shared" si="36"/>
        <v>1031500000</v>
      </c>
      <c r="BA404" s="55">
        <f t="shared" si="37"/>
        <v>4030833333.3333335</v>
      </c>
      <c r="BB404" s="32"/>
      <c r="BC404" s="32"/>
      <c r="BD404" s="32"/>
      <c r="BE404" s="32"/>
      <c r="BF404" s="32"/>
      <c r="BG404" s="32"/>
      <c r="BH404" s="32"/>
      <c r="BI404" s="32"/>
      <c r="BJ404" s="32"/>
      <c r="BK404" s="32"/>
      <c r="BL404" s="32"/>
      <c r="BM404" s="32"/>
      <c r="BN404" s="32"/>
      <c r="BO404" s="32"/>
      <c r="BP404" s="32"/>
      <c r="BQ404" s="32"/>
      <c r="BR404" s="32"/>
      <c r="BS404" s="32"/>
      <c r="BT404" s="32"/>
      <c r="BU404" s="32"/>
      <c r="BV404" s="32"/>
      <c r="BW404" s="32"/>
      <c r="BX404" s="32"/>
      <c r="BY404" s="32"/>
      <c r="BZ404" s="32"/>
      <c r="CA404" s="32"/>
      <c r="CB404" s="32"/>
      <c r="CC404" s="32"/>
      <c r="CD404" s="32"/>
      <c r="CE404" s="32"/>
      <c r="CF404" s="32"/>
      <c r="CG404" s="32"/>
      <c r="CH404" s="32"/>
      <c r="CI404" s="32"/>
      <c r="CJ404" s="32"/>
      <c r="CK404" s="32"/>
      <c r="CL404" s="32"/>
      <c r="CM404" s="32"/>
      <c r="CN404" s="32"/>
      <c r="CO404" s="32"/>
      <c r="CP404" s="32"/>
      <c r="CQ404" s="32"/>
      <c r="CR404" s="32"/>
      <c r="CS404" s="32"/>
      <c r="CT404" s="32"/>
      <c r="CU404" s="32"/>
      <c r="CV404" s="32"/>
      <c r="CW404" s="32"/>
      <c r="CX404" s="32"/>
      <c r="CY404" s="32"/>
      <c r="CZ404" s="32"/>
      <c r="DA404" s="32"/>
      <c r="DB404" s="32"/>
      <c r="DC404" s="32"/>
      <c r="DD404" s="32"/>
      <c r="DE404" s="32"/>
      <c r="DF404" s="32"/>
      <c r="DG404" s="32"/>
      <c r="DH404" s="32"/>
      <c r="DI404" s="32"/>
      <c r="DJ404" s="32"/>
      <c r="DK404" s="32"/>
      <c r="DL404" s="32"/>
      <c r="DM404" s="32"/>
      <c r="DN404" s="32"/>
      <c r="DO404" s="32"/>
      <c r="DP404" s="32"/>
      <c r="DQ404" s="32"/>
      <c r="DR404" s="32"/>
      <c r="DS404" s="32"/>
      <c r="DT404" s="32"/>
      <c r="DU404" s="32"/>
      <c r="DV404" s="32"/>
      <c r="DW404" s="32"/>
      <c r="DX404" s="32"/>
      <c r="DY404" s="32"/>
      <c r="DZ404" s="32"/>
      <c r="EA404" s="32"/>
      <c r="EB404" s="32"/>
      <c r="EC404" s="32"/>
    </row>
    <row r="405" spans="1:133" s="13" customFormat="1" ht="141.75" x14ac:dyDescent="0.25">
      <c r="A405" s="130" t="s">
        <v>533</v>
      </c>
      <c r="B405" s="132" t="s">
        <v>745</v>
      </c>
      <c r="C405" s="118" t="s">
        <v>764</v>
      </c>
      <c r="D405" s="127" t="s">
        <v>765</v>
      </c>
      <c r="E405" s="127" t="s">
        <v>766</v>
      </c>
      <c r="F405" s="127" t="s">
        <v>767</v>
      </c>
      <c r="G405" s="123" t="s">
        <v>812</v>
      </c>
      <c r="H405" s="123" t="s">
        <v>1535</v>
      </c>
      <c r="I405" s="103" t="s">
        <v>815</v>
      </c>
      <c r="J405" s="103" t="s">
        <v>1682</v>
      </c>
      <c r="K405" s="178">
        <v>100</v>
      </c>
      <c r="L405" s="179">
        <v>100</v>
      </c>
      <c r="M405" s="56" t="s">
        <v>814</v>
      </c>
      <c r="N405" s="56" t="s">
        <v>369</v>
      </c>
      <c r="O405" s="54" t="s">
        <v>193</v>
      </c>
      <c r="P405" s="58" t="s">
        <v>42</v>
      </c>
      <c r="Q405" s="54" t="s">
        <v>1679</v>
      </c>
      <c r="R405" s="182">
        <v>100</v>
      </c>
      <c r="S405" s="178">
        <v>100</v>
      </c>
      <c r="T405" s="178">
        <v>100</v>
      </c>
      <c r="U405" s="183">
        <v>100</v>
      </c>
      <c r="V405" s="59">
        <v>1063333333.3333334</v>
      </c>
      <c r="W405" s="60"/>
      <c r="X405" s="60"/>
      <c r="Y405" s="60"/>
      <c r="Z405" s="60"/>
      <c r="AA405" s="61"/>
      <c r="AB405" s="62">
        <f t="shared" si="38"/>
        <v>947666666.66666663</v>
      </c>
      <c r="AC405" s="60"/>
      <c r="AD405" s="60"/>
      <c r="AE405" s="60"/>
      <c r="AF405" s="60"/>
      <c r="AG405" s="60"/>
      <c r="AH405" s="63"/>
      <c r="AI405" s="62">
        <f t="shared" si="39"/>
        <v>988333333.33333337</v>
      </c>
      <c r="AJ405" s="60"/>
      <c r="AK405" s="60"/>
      <c r="AL405" s="60"/>
      <c r="AM405" s="60"/>
      <c r="AN405" s="60"/>
      <c r="AO405" s="63"/>
      <c r="AP405" s="62">
        <f t="shared" si="40"/>
        <v>1031500000</v>
      </c>
      <c r="AQ405" s="60"/>
      <c r="AR405" s="60"/>
      <c r="AS405" s="60"/>
      <c r="AT405" s="60"/>
      <c r="AU405" s="60"/>
      <c r="AV405" s="64"/>
      <c r="AW405" s="55">
        <f t="shared" si="33"/>
        <v>1063333333.3333334</v>
      </c>
      <c r="AX405" s="55">
        <f t="shared" si="34"/>
        <v>947666666.66666663</v>
      </c>
      <c r="AY405" s="55">
        <f t="shared" si="35"/>
        <v>988333333.33333337</v>
      </c>
      <c r="AZ405" s="55">
        <f t="shared" si="36"/>
        <v>1031500000</v>
      </c>
      <c r="BA405" s="55">
        <f t="shared" si="37"/>
        <v>4030833333.3333335</v>
      </c>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c r="BY405" s="32"/>
      <c r="BZ405" s="32"/>
      <c r="CA405" s="32"/>
      <c r="CB405" s="32"/>
      <c r="CC405" s="32"/>
      <c r="CD405" s="32"/>
      <c r="CE405" s="32"/>
      <c r="CF405" s="32"/>
      <c r="CG405" s="32"/>
      <c r="CH405" s="32"/>
      <c r="CI405" s="32"/>
      <c r="CJ405" s="32"/>
      <c r="CK405" s="32"/>
      <c r="CL405" s="32"/>
      <c r="CM405" s="32"/>
      <c r="CN405" s="32"/>
      <c r="CO405" s="32"/>
      <c r="CP405" s="32"/>
      <c r="CQ405" s="32"/>
      <c r="CR405" s="32"/>
      <c r="CS405" s="32"/>
      <c r="CT405" s="32"/>
      <c r="CU405" s="32"/>
      <c r="CV405" s="32"/>
      <c r="CW405" s="32"/>
      <c r="CX405" s="32"/>
      <c r="CY405" s="32"/>
      <c r="CZ405" s="32"/>
      <c r="DA405" s="32"/>
      <c r="DB405" s="32"/>
      <c r="DC405" s="32"/>
      <c r="DD405" s="32"/>
      <c r="DE405" s="32"/>
      <c r="DF405" s="32"/>
      <c r="DG405" s="32"/>
      <c r="DH405" s="32"/>
      <c r="DI405" s="32"/>
      <c r="DJ405" s="32"/>
      <c r="DK405" s="32"/>
      <c r="DL405" s="32"/>
      <c r="DM405" s="32"/>
      <c r="DN405" s="32"/>
      <c r="DO405" s="32"/>
      <c r="DP405" s="32"/>
      <c r="DQ405" s="32"/>
      <c r="DR405" s="32"/>
      <c r="DS405" s="32"/>
      <c r="DT405" s="32"/>
      <c r="DU405" s="32"/>
      <c r="DV405" s="32"/>
      <c r="DW405" s="32"/>
      <c r="DX405" s="32"/>
      <c r="DY405" s="32"/>
      <c r="DZ405" s="32"/>
      <c r="EA405" s="32"/>
      <c r="EB405" s="32"/>
      <c r="EC405" s="32"/>
    </row>
    <row r="406" spans="1:133" s="13" customFormat="1" ht="141.75" x14ac:dyDescent="0.25">
      <c r="A406" s="130" t="s">
        <v>533</v>
      </c>
      <c r="B406" s="132" t="s">
        <v>745</v>
      </c>
      <c r="C406" s="118" t="s">
        <v>764</v>
      </c>
      <c r="D406" s="127" t="s">
        <v>765</v>
      </c>
      <c r="E406" s="127" t="s">
        <v>766</v>
      </c>
      <c r="F406" s="127" t="s">
        <v>767</v>
      </c>
      <c r="G406" s="123" t="s">
        <v>812</v>
      </c>
      <c r="H406" s="123" t="s">
        <v>1536</v>
      </c>
      <c r="I406" s="103" t="s">
        <v>816</v>
      </c>
      <c r="J406" s="103" t="s">
        <v>1682</v>
      </c>
      <c r="K406" s="178">
        <v>17</v>
      </c>
      <c r="L406" s="179">
        <v>90</v>
      </c>
      <c r="M406" s="56" t="s">
        <v>814</v>
      </c>
      <c r="N406" s="56" t="s">
        <v>369</v>
      </c>
      <c r="O406" s="54" t="s">
        <v>193</v>
      </c>
      <c r="P406" s="58" t="s">
        <v>1677</v>
      </c>
      <c r="Q406" s="58" t="s">
        <v>1679</v>
      </c>
      <c r="R406" s="182">
        <v>40</v>
      </c>
      <c r="S406" s="178">
        <v>50</v>
      </c>
      <c r="T406" s="178">
        <v>75</v>
      </c>
      <c r="U406" s="183">
        <v>90</v>
      </c>
      <c r="V406" s="59">
        <v>1063333333.3333334</v>
      </c>
      <c r="W406" s="60"/>
      <c r="X406" s="60"/>
      <c r="Y406" s="60"/>
      <c r="Z406" s="60"/>
      <c r="AA406" s="61"/>
      <c r="AB406" s="62">
        <f t="shared" si="38"/>
        <v>947666666.66666663</v>
      </c>
      <c r="AC406" s="60"/>
      <c r="AD406" s="60"/>
      <c r="AE406" s="60"/>
      <c r="AF406" s="60"/>
      <c r="AG406" s="60"/>
      <c r="AH406" s="63"/>
      <c r="AI406" s="62">
        <f t="shared" si="39"/>
        <v>988333333.33333337</v>
      </c>
      <c r="AJ406" s="60"/>
      <c r="AK406" s="60"/>
      <c r="AL406" s="60"/>
      <c r="AM406" s="60"/>
      <c r="AN406" s="60"/>
      <c r="AO406" s="63"/>
      <c r="AP406" s="62">
        <f t="shared" si="40"/>
        <v>1031500000</v>
      </c>
      <c r="AQ406" s="60"/>
      <c r="AR406" s="60"/>
      <c r="AS406" s="60"/>
      <c r="AT406" s="60"/>
      <c r="AU406" s="60"/>
      <c r="AV406" s="64"/>
      <c r="AW406" s="55">
        <f t="shared" si="33"/>
        <v>1063333333.3333334</v>
      </c>
      <c r="AX406" s="55">
        <f t="shared" si="34"/>
        <v>947666666.66666663</v>
      </c>
      <c r="AY406" s="55">
        <f t="shared" si="35"/>
        <v>988333333.33333337</v>
      </c>
      <c r="AZ406" s="55">
        <f t="shared" si="36"/>
        <v>1031500000</v>
      </c>
      <c r="BA406" s="55">
        <f t="shared" si="37"/>
        <v>4030833333.3333335</v>
      </c>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row>
    <row r="407" spans="1:133" s="13" customFormat="1" ht="141.75" x14ac:dyDescent="0.25">
      <c r="A407" s="130" t="s">
        <v>533</v>
      </c>
      <c r="B407" s="132" t="s">
        <v>745</v>
      </c>
      <c r="C407" s="118" t="s">
        <v>764</v>
      </c>
      <c r="D407" s="127" t="s">
        <v>765</v>
      </c>
      <c r="E407" s="127" t="s">
        <v>766</v>
      </c>
      <c r="F407" s="127" t="s">
        <v>767</v>
      </c>
      <c r="G407" s="123" t="s">
        <v>812</v>
      </c>
      <c r="H407" s="123" t="s">
        <v>1537</v>
      </c>
      <c r="I407" s="103" t="s">
        <v>817</v>
      </c>
      <c r="J407" s="103" t="s">
        <v>1686</v>
      </c>
      <c r="K407" s="56">
        <v>90</v>
      </c>
      <c r="L407" s="86">
        <v>75</v>
      </c>
      <c r="M407" s="56" t="s">
        <v>814</v>
      </c>
      <c r="N407" s="56" t="s">
        <v>369</v>
      </c>
      <c r="O407" s="54" t="s">
        <v>193</v>
      </c>
      <c r="P407" s="58" t="s">
        <v>1678</v>
      </c>
      <c r="Q407" s="171" t="s">
        <v>1679</v>
      </c>
      <c r="R407" s="182">
        <v>90</v>
      </c>
      <c r="S407" s="178">
        <v>85</v>
      </c>
      <c r="T407" s="178">
        <v>80</v>
      </c>
      <c r="U407" s="183">
        <v>75</v>
      </c>
      <c r="V407" s="59">
        <v>1063333333.3333334</v>
      </c>
      <c r="W407" s="60"/>
      <c r="X407" s="60"/>
      <c r="Y407" s="60"/>
      <c r="Z407" s="60"/>
      <c r="AA407" s="61"/>
      <c r="AB407" s="62">
        <f t="shared" si="38"/>
        <v>947666666.66666663</v>
      </c>
      <c r="AC407" s="60"/>
      <c r="AD407" s="60"/>
      <c r="AE407" s="60"/>
      <c r="AF407" s="60"/>
      <c r="AG407" s="60"/>
      <c r="AH407" s="63"/>
      <c r="AI407" s="62">
        <f t="shared" si="39"/>
        <v>988333333.33333337</v>
      </c>
      <c r="AJ407" s="60"/>
      <c r="AK407" s="60"/>
      <c r="AL407" s="60"/>
      <c r="AM407" s="60"/>
      <c r="AN407" s="60"/>
      <c r="AO407" s="63"/>
      <c r="AP407" s="62">
        <f t="shared" si="40"/>
        <v>1031500000</v>
      </c>
      <c r="AQ407" s="60"/>
      <c r="AR407" s="60"/>
      <c r="AS407" s="60"/>
      <c r="AT407" s="60"/>
      <c r="AU407" s="60"/>
      <c r="AV407" s="64"/>
      <c r="AW407" s="55">
        <f t="shared" si="33"/>
        <v>1063333333.3333334</v>
      </c>
      <c r="AX407" s="55">
        <f t="shared" si="34"/>
        <v>947666666.66666663</v>
      </c>
      <c r="AY407" s="55">
        <f t="shared" si="35"/>
        <v>988333333.33333337</v>
      </c>
      <c r="AZ407" s="55">
        <f t="shared" si="36"/>
        <v>1031500000</v>
      </c>
      <c r="BA407" s="55">
        <f t="shared" si="37"/>
        <v>4030833333.3333335</v>
      </c>
      <c r="BB407" s="32"/>
      <c r="BC407" s="32"/>
      <c r="BD407" s="32"/>
      <c r="BE407" s="32"/>
      <c r="BF407" s="32"/>
      <c r="BG407" s="32"/>
      <c r="BH407" s="32"/>
      <c r="BI407" s="32"/>
      <c r="BJ407" s="32"/>
      <c r="BK407" s="32"/>
      <c r="BL407" s="32"/>
      <c r="BM407" s="32"/>
      <c r="BN407" s="32"/>
      <c r="BO407" s="32"/>
      <c r="BP407" s="32"/>
      <c r="BQ407" s="32"/>
      <c r="BR407" s="32"/>
      <c r="BS407" s="32"/>
      <c r="BT407" s="32"/>
      <c r="BU407" s="32"/>
      <c r="BV407" s="32"/>
      <c r="BW407" s="32"/>
      <c r="BX407" s="32"/>
      <c r="BY407" s="32"/>
      <c r="BZ407" s="32"/>
      <c r="CA407" s="32"/>
      <c r="CB407" s="32"/>
      <c r="CC407" s="32"/>
      <c r="CD407" s="32"/>
      <c r="CE407" s="32"/>
      <c r="CF407" s="32"/>
      <c r="CG407" s="32"/>
      <c r="CH407" s="32"/>
      <c r="CI407" s="32"/>
      <c r="CJ407" s="32"/>
      <c r="CK407" s="32"/>
      <c r="CL407" s="32"/>
      <c r="CM407" s="32"/>
      <c r="CN407" s="32"/>
      <c r="CO407" s="32"/>
      <c r="CP407" s="32"/>
      <c r="CQ407" s="32"/>
      <c r="CR407" s="32"/>
      <c r="CS407" s="32"/>
      <c r="CT407" s="32"/>
      <c r="CU407" s="32"/>
      <c r="CV407" s="32"/>
      <c r="CW407" s="32"/>
      <c r="CX407" s="32"/>
      <c r="CY407" s="32"/>
      <c r="CZ407" s="32"/>
      <c r="DA407" s="32"/>
      <c r="DB407" s="32"/>
      <c r="DC407" s="32"/>
      <c r="DD407" s="32"/>
      <c r="DE407" s="32"/>
      <c r="DF407" s="32"/>
      <c r="DG407" s="32"/>
      <c r="DH407" s="32"/>
      <c r="DI407" s="32"/>
      <c r="DJ407" s="32"/>
      <c r="DK407" s="32"/>
      <c r="DL407" s="32"/>
      <c r="DM407" s="32"/>
      <c r="DN407" s="32"/>
      <c r="DO407" s="32"/>
      <c r="DP407" s="32"/>
      <c r="DQ407" s="32"/>
      <c r="DR407" s="32"/>
      <c r="DS407" s="32"/>
      <c r="DT407" s="32"/>
      <c r="DU407" s="32"/>
      <c r="DV407" s="32"/>
      <c r="DW407" s="32"/>
      <c r="DX407" s="32"/>
      <c r="DY407" s="32"/>
      <c r="DZ407" s="32"/>
      <c r="EA407" s="32"/>
      <c r="EB407" s="32"/>
      <c r="EC407" s="32"/>
    </row>
    <row r="408" spans="1:133" s="13" customFormat="1" ht="141.75" x14ac:dyDescent="0.25">
      <c r="A408" s="130" t="s">
        <v>533</v>
      </c>
      <c r="B408" s="132" t="s">
        <v>745</v>
      </c>
      <c r="C408" s="118" t="s">
        <v>764</v>
      </c>
      <c r="D408" s="127" t="s">
        <v>765</v>
      </c>
      <c r="E408" s="127" t="s">
        <v>766</v>
      </c>
      <c r="F408" s="127" t="s">
        <v>767</v>
      </c>
      <c r="G408" s="123" t="s">
        <v>812</v>
      </c>
      <c r="H408" s="123" t="s">
        <v>1538</v>
      </c>
      <c r="I408" s="103" t="s">
        <v>818</v>
      </c>
      <c r="J408" s="103" t="s">
        <v>1682</v>
      </c>
      <c r="K408" s="56" t="s">
        <v>90</v>
      </c>
      <c r="L408" s="179">
        <v>100</v>
      </c>
      <c r="M408" s="56" t="s">
        <v>814</v>
      </c>
      <c r="N408" s="56" t="s">
        <v>369</v>
      </c>
      <c r="O408" s="54" t="s">
        <v>193</v>
      </c>
      <c r="P408" s="58" t="s">
        <v>39</v>
      </c>
      <c r="Q408" s="171" t="s">
        <v>1679</v>
      </c>
      <c r="R408" s="182">
        <v>0</v>
      </c>
      <c r="S408" s="178">
        <v>30</v>
      </c>
      <c r="T408" s="178">
        <v>60</v>
      </c>
      <c r="U408" s="183">
        <v>100</v>
      </c>
      <c r="V408" s="59">
        <v>1063333333.3333334</v>
      </c>
      <c r="W408" s="60"/>
      <c r="X408" s="60"/>
      <c r="Y408" s="60"/>
      <c r="Z408" s="60"/>
      <c r="AA408" s="61"/>
      <c r="AB408" s="62">
        <f t="shared" si="38"/>
        <v>947666666.66666663</v>
      </c>
      <c r="AC408" s="60"/>
      <c r="AD408" s="60"/>
      <c r="AE408" s="60"/>
      <c r="AF408" s="60"/>
      <c r="AG408" s="60"/>
      <c r="AH408" s="63"/>
      <c r="AI408" s="62">
        <f t="shared" si="39"/>
        <v>988333333.33333337</v>
      </c>
      <c r="AJ408" s="60"/>
      <c r="AK408" s="60"/>
      <c r="AL408" s="60"/>
      <c r="AM408" s="60"/>
      <c r="AN408" s="60"/>
      <c r="AO408" s="63"/>
      <c r="AP408" s="62">
        <f t="shared" si="40"/>
        <v>1031500000</v>
      </c>
      <c r="AQ408" s="60"/>
      <c r="AR408" s="60"/>
      <c r="AS408" s="60"/>
      <c r="AT408" s="60"/>
      <c r="AU408" s="60"/>
      <c r="AV408" s="64"/>
      <c r="AW408" s="55">
        <f t="shared" si="33"/>
        <v>1063333333.3333334</v>
      </c>
      <c r="AX408" s="55">
        <f t="shared" si="34"/>
        <v>947666666.66666663</v>
      </c>
      <c r="AY408" s="55">
        <f t="shared" si="35"/>
        <v>988333333.33333337</v>
      </c>
      <c r="AZ408" s="55">
        <f t="shared" si="36"/>
        <v>1031500000</v>
      </c>
      <c r="BA408" s="55">
        <f t="shared" si="37"/>
        <v>4030833333.3333335</v>
      </c>
      <c r="BB408" s="32"/>
      <c r="BC408" s="32"/>
      <c r="BD408" s="32"/>
      <c r="BE408" s="32"/>
      <c r="BF408" s="32"/>
      <c r="BG408" s="32"/>
      <c r="BH408" s="32"/>
      <c r="BI408" s="32"/>
      <c r="BJ408" s="32"/>
      <c r="BK408" s="32"/>
      <c r="BL408" s="32"/>
      <c r="BM408" s="32"/>
      <c r="BN408" s="32"/>
      <c r="BO408" s="32"/>
      <c r="BP408" s="32"/>
      <c r="BQ408" s="32"/>
      <c r="BR408" s="32"/>
      <c r="BS408" s="32"/>
      <c r="BT408" s="32"/>
      <c r="BU408" s="32"/>
      <c r="BV408" s="32"/>
      <c r="BW408" s="32"/>
      <c r="BX408" s="32"/>
      <c r="BY408" s="32"/>
      <c r="BZ408" s="32"/>
      <c r="CA408" s="32"/>
      <c r="CB408" s="32"/>
      <c r="CC408" s="32"/>
      <c r="CD408" s="32"/>
      <c r="CE408" s="32"/>
      <c r="CF408" s="32"/>
      <c r="CG408" s="32"/>
      <c r="CH408" s="32"/>
      <c r="CI408" s="32"/>
      <c r="CJ408" s="32"/>
      <c r="CK408" s="32"/>
      <c r="CL408" s="32"/>
      <c r="CM408" s="32"/>
      <c r="CN408" s="32"/>
      <c r="CO408" s="32"/>
      <c r="CP408" s="32"/>
      <c r="CQ408" s="32"/>
      <c r="CR408" s="32"/>
      <c r="CS408" s="32"/>
      <c r="CT408" s="32"/>
      <c r="CU408" s="32"/>
      <c r="CV408" s="32"/>
      <c r="CW408" s="32"/>
      <c r="CX408" s="32"/>
      <c r="CY408" s="32"/>
      <c r="CZ408" s="32"/>
      <c r="DA408" s="32"/>
      <c r="DB408" s="32"/>
      <c r="DC408" s="32"/>
      <c r="DD408" s="32"/>
      <c r="DE408" s="32"/>
      <c r="DF408" s="32"/>
      <c r="DG408" s="32"/>
      <c r="DH408" s="32"/>
      <c r="DI408" s="32"/>
      <c r="DJ408" s="32"/>
      <c r="DK408" s="32"/>
      <c r="DL408" s="32"/>
      <c r="DM408" s="32"/>
      <c r="DN408" s="32"/>
      <c r="DO408" s="32"/>
      <c r="DP408" s="32"/>
      <c r="DQ408" s="32"/>
      <c r="DR408" s="32"/>
      <c r="DS408" s="32"/>
      <c r="DT408" s="32"/>
      <c r="DU408" s="32"/>
      <c r="DV408" s="32"/>
      <c r="DW408" s="32"/>
      <c r="DX408" s="32"/>
      <c r="DY408" s="32"/>
      <c r="DZ408" s="32"/>
      <c r="EA408" s="32"/>
      <c r="EB408" s="32"/>
      <c r="EC408" s="32"/>
    </row>
    <row r="409" spans="1:133" s="13" customFormat="1" ht="141.75" x14ac:dyDescent="0.25">
      <c r="A409" s="130" t="s">
        <v>533</v>
      </c>
      <c r="B409" s="132" t="s">
        <v>745</v>
      </c>
      <c r="C409" s="118" t="s">
        <v>764</v>
      </c>
      <c r="D409" s="127" t="s">
        <v>765</v>
      </c>
      <c r="E409" s="127" t="s">
        <v>766</v>
      </c>
      <c r="F409" s="127" t="s">
        <v>767</v>
      </c>
      <c r="G409" s="123" t="s">
        <v>812</v>
      </c>
      <c r="H409" s="123" t="s">
        <v>1539</v>
      </c>
      <c r="I409" s="103" t="s">
        <v>819</v>
      </c>
      <c r="J409" s="103" t="s">
        <v>1682</v>
      </c>
      <c r="K409" s="56" t="s">
        <v>90</v>
      </c>
      <c r="L409" s="179">
        <v>100</v>
      </c>
      <c r="M409" s="56" t="s">
        <v>814</v>
      </c>
      <c r="N409" s="56" t="s">
        <v>369</v>
      </c>
      <c r="O409" s="54" t="s">
        <v>193</v>
      </c>
      <c r="P409" s="58" t="s">
        <v>42</v>
      </c>
      <c r="Q409" s="54" t="s">
        <v>1679</v>
      </c>
      <c r="R409" s="182">
        <v>100</v>
      </c>
      <c r="S409" s="178">
        <v>100</v>
      </c>
      <c r="T409" s="178">
        <v>100</v>
      </c>
      <c r="U409" s="183">
        <v>100</v>
      </c>
      <c r="V409" s="59">
        <v>1063333333.3333334</v>
      </c>
      <c r="W409" s="60"/>
      <c r="X409" s="60"/>
      <c r="Y409" s="60"/>
      <c r="Z409" s="60"/>
      <c r="AA409" s="61"/>
      <c r="AB409" s="62">
        <f t="shared" si="38"/>
        <v>947666666.66666663</v>
      </c>
      <c r="AC409" s="60"/>
      <c r="AD409" s="60"/>
      <c r="AE409" s="60"/>
      <c r="AF409" s="60"/>
      <c r="AG409" s="60"/>
      <c r="AH409" s="63"/>
      <c r="AI409" s="62">
        <f t="shared" si="39"/>
        <v>988333333.33333337</v>
      </c>
      <c r="AJ409" s="60"/>
      <c r="AK409" s="60"/>
      <c r="AL409" s="60"/>
      <c r="AM409" s="60"/>
      <c r="AN409" s="60"/>
      <c r="AO409" s="63"/>
      <c r="AP409" s="62">
        <f t="shared" si="40"/>
        <v>1031500000</v>
      </c>
      <c r="AQ409" s="60"/>
      <c r="AR409" s="60"/>
      <c r="AS409" s="60"/>
      <c r="AT409" s="60"/>
      <c r="AU409" s="60"/>
      <c r="AV409" s="64"/>
      <c r="AW409" s="55">
        <f t="shared" si="33"/>
        <v>1063333333.3333334</v>
      </c>
      <c r="AX409" s="55">
        <f t="shared" si="34"/>
        <v>947666666.66666663</v>
      </c>
      <c r="AY409" s="55">
        <f t="shared" si="35"/>
        <v>988333333.33333337</v>
      </c>
      <c r="AZ409" s="55">
        <f t="shared" si="36"/>
        <v>1031500000</v>
      </c>
      <c r="BA409" s="55">
        <f t="shared" si="37"/>
        <v>4030833333.3333335</v>
      </c>
      <c r="BB409" s="32"/>
      <c r="BC409" s="32"/>
      <c r="BD409" s="32"/>
      <c r="BE409" s="32"/>
      <c r="BF409" s="32"/>
      <c r="BG409" s="32"/>
      <c r="BH409" s="32"/>
      <c r="BI409" s="32"/>
      <c r="BJ409" s="32"/>
      <c r="BK409" s="32"/>
      <c r="BL409" s="32"/>
      <c r="BM409" s="32"/>
      <c r="BN409" s="32"/>
      <c r="BO409" s="32"/>
      <c r="BP409" s="32"/>
      <c r="BQ409" s="32"/>
      <c r="BR409" s="32"/>
      <c r="BS409" s="32"/>
      <c r="BT409" s="32"/>
      <c r="BU409" s="32"/>
      <c r="BV409" s="32"/>
      <c r="BW409" s="32"/>
      <c r="BX409" s="32"/>
      <c r="BY409" s="32"/>
      <c r="BZ409" s="32"/>
      <c r="CA409" s="32"/>
      <c r="CB409" s="32"/>
      <c r="CC409" s="32"/>
      <c r="CD409" s="32"/>
      <c r="CE409" s="32"/>
      <c r="CF409" s="32"/>
      <c r="CG409" s="32"/>
      <c r="CH409" s="32"/>
      <c r="CI409" s="32"/>
      <c r="CJ409" s="32"/>
      <c r="CK409" s="32"/>
      <c r="CL409" s="32"/>
      <c r="CM409" s="32"/>
      <c r="CN409" s="32"/>
      <c r="CO409" s="32"/>
      <c r="CP409" s="32"/>
      <c r="CQ409" s="32"/>
      <c r="CR409" s="32"/>
      <c r="CS409" s="32"/>
      <c r="CT409" s="32"/>
      <c r="CU409" s="32"/>
      <c r="CV409" s="32"/>
      <c r="CW409" s="32"/>
      <c r="CX409" s="32"/>
      <c r="CY409" s="32"/>
      <c r="CZ409" s="32"/>
      <c r="DA409" s="32"/>
      <c r="DB409" s="32"/>
      <c r="DC409" s="32"/>
      <c r="DD409" s="32"/>
      <c r="DE409" s="32"/>
      <c r="DF409" s="32"/>
      <c r="DG409" s="32"/>
      <c r="DH409" s="32"/>
      <c r="DI409" s="32"/>
      <c r="DJ409" s="32"/>
      <c r="DK409" s="32"/>
      <c r="DL409" s="32"/>
      <c r="DM409" s="32"/>
      <c r="DN409" s="32"/>
      <c r="DO409" s="32"/>
      <c r="DP409" s="32"/>
      <c r="DQ409" s="32"/>
      <c r="DR409" s="32"/>
      <c r="DS409" s="32"/>
      <c r="DT409" s="32"/>
      <c r="DU409" s="32"/>
      <c r="DV409" s="32"/>
      <c r="DW409" s="32"/>
      <c r="DX409" s="32"/>
      <c r="DY409" s="32"/>
      <c r="DZ409" s="32"/>
      <c r="EA409" s="32"/>
      <c r="EB409" s="32"/>
      <c r="EC409" s="32"/>
    </row>
    <row r="410" spans="1:133" s="13" customFormat="1" ht="110.25" x14ac:dyDescent="0.25">
      <c r="A410" s="130" t="s">
        <v>533</v>
      </c>
      <c r="B410" s="132" t="s">
        <v>745</v>
      </c>
      <c r="C410" s="118" t="s">
        <v>764</v>
      </c>
      <c r="D410" s="127" t="s">
        <v>765</v>
      </c>
      <c r="E410" s="127" t="s">
        <v>766</v>
      </c>
      <c r="F410" s="127" t="s">
        <v>767</v>
      </c>
      <c r="G410" s="104" t="s">
        <v>820</v>
      </c>
      <c r="H410" s="104" t="s">
        <v>1540</v>
      </c>
      <c r="I410" s="103" t="s">
        <v>821</v>
      </c>
      <c r="J410" s="103" t="s">
        <v>1682</v>
      </c>
      <c r="K410" s="56" t="s">
        <v>90</v>
      </c>
      <c r="L410" s="179">
        <v>100</v>
      </c>
      <c r="M410" s="56" t="s">
        <v>814</v>
      </c>
      <c r="N410" s="56" t="s">
        <v>369</v>
      </c>
      <c r="O410" s="54" t="s">
        <v>193</v>
      </c>
      <c r="P410" s="58" t="s">
        <v>42</v>
      </c>
      <c r="Q410" s="54" t="s">
        <v>1679</v>
      </c>
      <c r="R410" s="182">
        <v>100</v>
      </c>
      <c r="S410" s="178">
        <v>100</v>
      </c>
      <c r="T410" s="178">
        <v>100</v>
      </c>
      <c r="U410" s="183">
        <v>100</v>
      </c>
      <c r="V410" s="59">
        <v>5500000000</v>
      </c>
      <c r="W410" s="60"/>
      <c r="X410" s="60"/>
      <c r="Y410" s="60"/>
      <c r="Z410" s="60"/>
      <c r="AA410" s="61"/>
      <c r="AB410" s="62">
        <v>4000000000</v>
      </c>
      <c r="AC410" s="60"/>
      <c r="AD410" s="60"/>
      <c r="AE410" s="60"/>
      <c r="AF410" s="60"/>
      <c r="AG410" s="60"/>
      <c r="AH410" s="63"/>
      <c r="AI410" s="62">
        <v>3500000000</v>
      </c>
      <c r="AJ410" s="60"/>
      <c r="AK410" s="60"/>
      <c r="AL410" s="60"/>
      <c r="AM410" s="60"/>
      <c r="AN410" s="60"/>
      <c r="AO410" s="63"/>
      <c r="AP410" s="62">
        <v>5000000000</v>
      </c>
      <c r="AQ410" s="60"/>
      <c r="AR410" s="60"/>
      <c r="AS410" s="60"/>
      <c r="AT410" s="60"/>
      <c r="AU410" s="60"/>
      <c r="AV410" s="64"/>
      <c r="AW410" s="55">
        <f t="shared" si="33"/>
        <v>5500000000</v>
      </c>
      <c r="AX410" s="55">
        <f t="shared" si="34"/>
        <v>4000000000</v>
      </c>
      <c r="AY410" s="55">
        <f t="shared" si="35"/>
        <v>3500000000</v>
      </c>
      <c r="AZ410" s="55">
        <f t="shared" si="36"/>
        <v>5000000000</v>
      </c>
      <c r="BA410" s="55">
        <f t="shared" si="37"/>
        <v>18000000000</v>
      </c>
      <c r="BB410" s="32"/>
      <c r="BC410" s="32"/>
      <c r="BD410" s="32"/>
      <c r="BE410" s="32"/>
      <c r="BF410" s="32"/>
      <c r="BG410" s="32"/>
      <c r="BH410" s="32"/>
      <c r="BI410" s="32"/>
      <c r="BJ410" s="32"/>
      <c r="BK410" s="32"/>
      <c r="BL410" s="32"/>
      <c r="BM410" s="32"/>
      <c r="BN410" s="32"/>
      <c r="BO410" s="32"/>
      <c r="BP410" s="32"/>
      <c r="BQ410" s="32"/>
      <c r="BR410" s="32"/>
      <c r="BS410" s="32"/>
      <c r="BT410" s="32"/>
      <c r="BU410" s="32"/>
      <c r="BV410" s="32"/>
      <c r="BW410" s="32"/>
      <c r="BX410" s="32"/>
      <c r="BY410" s="32"/>
      <c r="BZ410" s="32"/>
      <c r="CA410" s="32"/>
      <c r="CB410" s="32"/>
      <c r="CC410" s="32"/>
      <c r="CD410" s="32"/>
      <c r="CE410" s="32"/>
      <c r="CF410" s="32"/>
      <c r="CG410" s="32"/>
      <c r="CH410" s="32"/>
      <c r="CI410" s="32"/>
      <c r="CJ410" s="32"/>
      <c r="CK410" s="32"/>
      <c r="CL410" s="32"/>
      <c r="CM410" s="32"/>
      <c r="CN410" s="32"/>
      <c r="CO410" s="32"/>
      <c r="CP410" s="32"/>
      <c r="CQ410" s="32"/>
      <c r="CR410" s="32"/>
      <c r="CS410" s="32"/>
      <c r="CT410" s="32"/>
      <c r="CU410" s="32"/>
      <c r="CV410" s="32"/>
      <c r="CW410" s="32"/>
      <c r="CX410" s="32"/>
      <c r="CY410" s="32"/>
      <c r="CZ410" s="32"/>
      <c r="DA410" s="32"/>
      <c r="DB410" s="32"/>
      <c r="DC410" s="32"/>
      <c r="DD410" s="32"/>
      <c r="DE410" s="32"/>
      <c r="DF410" s="32"/>
      <c r="DG410" s="32"/>
      <c r="DH410" s="32"/>
      <c r="DI410" s="32"/>
      <c r="DJ410" s="32"/>
      <c r="DK410" s="32"/>
      <c r="DL410" s="32"/>
      <c r="DM410" s="32"/>
      <c r="DN410" s="32"/>
      <c r="DO410" s="32"/>
      <c r="DP410" s="32"/>
      <c r="DQ410" s="32"/>
      <c r="DR410" s="32"/>
      <c r="DS410" s="32"/>
      <c r="DT410" s="32"/>
      <c r="DU410" s="32"/>
      <c r="DV410" s="32"/>
      <c r="DW410" s="32"/>
      <c r="DX410" s="32"/>
      <c r="DY410" s="32"/>
      <c r="DZ410" s="32"/>
      <c r="EA410" s="32"/>
      <c r="EB410" s="32"/>
      <c r="EC410" s="32"/>
    </row>
    <row r="411" spans="1:133" s="13" customFormat="1" ht="110.25" x14ac:dyDescent="0.25">
      <c r="A411" s="130" t="s">
        <v>533</v>
      </c>
      <c r="B411" s="132" t="s">
        <v>745</v>
      </c>
      <c r="C411" s="118" t="s">
        <v>764</v>
      </c>
      <c r="D411" s="127" t="s">
        <v>765</v>
      </c>
      <c r="E411" s="127" t="s">
        <v>766</v>
      </c>
      <c r="F411" s="127" t="s">
        <v>767</v>
      </c>
      <c r="G411" s="137" t="s">
        <v>822</v>
      </c>
      <c r="H411" s="137" t="s">
        <v>1541</v>
      </c>
      <c r="I411" s="103" t="s">
        <v>823</v>
      </c>
      <c r="J411" s="103" t="s">
        <v>1682</v>
      </c>
      <c r="K411" s="178">
        <v>0</v>
      </c>
      <c r="L411" s="179">
        <v>100</v>
      </c>
      <c r="M411" s="54" t="s">
        <v>337</v>
      </c>
      <c r="N411" s="56" t="s">
        <v>369</v>
      </c>
      <c r="O411" s="54" t="s">
        <v>193</v>
      </c>
      <c r="P411" s="58" t="s">
        <v>42</v>
      </c>
      <c r="Q411" s="54" t="s">
        <v>1679</v>
      </c>
      <c r="R411" s="182">
        <v>100</v>
      </c>
      <c r="S411" s="178">
        <v>100</v>
      </c>
      <c r="T411" s="178">
        <v>100</v>
      </c>
      <c r="U411" s="183">
        <v>100</v>
      </c>
      <c r="V411" s="59">
        <v>360000000</v>
      </c>
      <c r="W411" s="60"/>
      <c r="X411" s="60"/>
      <c r="Y411" s="60"/>
      <c r="Z411" s="60"/>
      <c r="AA411" s="61"/>
      <c r="AB411" s="62">
        <f>1500000000/4</f>
        <v>375000000</v>
      </c>
      <c r="AC411" s="60"/>
      <c r="AD411" s="60"/>
      <c r="AE411" s="60"/>
      <c r="AF411" s="60"/>
      <c r="AG411" s="60"/>
      <c r="AH411" s="63"/>
      <c r="AI411" s="62">
        <f>1575000000/4</f>
        <v>393750000</v>
      </c>
      <c r="AJ411" s="60"/>
      <c r="AK411" s="60"/>
      <c r="AL411" s="60"/>
      <c r="AM411" s="60"/>
      <c r="AN411" s="60"/>
      <c r="AO411" s="63"/>
      <c r="AP411" s="62">
        <f>1654000000/4</f>
        <v>413500000</v>
      </c>
      <c r="AQ411" s="60"/>
      <c r="AR411" s="60"/>
      <c r="AS411" s="60"/>
      <c r="AT411" s="60"/>
      <c r="AU411" s="60"/>
      <c r="AV411" s="64"/>
      <c r="AW411" s="55">
        <f t="shared" si="33"/>
        <v>360000000</v>
      </c>
      <c r="AX411" s="55">
        <f t="shared" si="34"/>
        <v>375000000</v>
      </c>
      <c r="AY411" s="55">
        <f t="shared" si="35"/>
        <v>393750000</v>
      </c>
      <c r="AZ411" s="55">
        <f t="shared" si="36"/>
        <v>413500000</v>
      </c>
      <c r="BA411" s="55">
        <f t="shared" si="37"/>
        <v>1542250000</v>
      </c>
      <c r="BB411" s="32"/>
      <c r="BC411" s="32"/>
      <c r="BD411" s="32"/>
      <c r="BE411" s="32"/>
      <c r="BF411" s="32"/>
      <c r="BG411" s="32"/>
      <c r="BH411" s="32"/>
      <c r="BI411" s="32"/>
      <c r="BJ411" s="32"/>
      <c r="BK411" s="32"/>
      <c r="BL411" s="32"/>
      <c r="BM411" s="32"/>
      <c r="BN411" s="32"/>
      <c r="BO411" s="32"/>
      <c r="BP411" s="32"/>
      <c r="BQ411" s="32"/>
      <c r="BR411" s="32"/>
      <c r="BS411" s="32"/>
      <c r="BT411" s="32"/>
      <c r="BU411" s="32"/>
      <c r="BV411" s="32"/>
      <c r="BW411" s="32"/>
      <c r="BX411" s="32"/>
      <c r="BY411" s="32"/>
      <c r="BZ411" s="32"/>
      <c r="CA411" s="32"/>
      <c r="CB411" s="32"/>
      <c r="CC411" s="32"/>
      <c r="CD411" s="32"/>
      <c r="CE411" s="32"/>
      <c r="CF411" s="32"/>
      <c r="CG411" s="32"/>
      <c r="CH411" s="32"/>
      <c r="CI411" s="32"/>
      <c r="CJ411" s="32"/>
      <c r="CK411" s="32"/>
      <c r="CL411" s="32"/>
      <c r="CM411" s="32"/>
      <c r="CN411" s="32"/>
      <c r="CO411" s="32"/>
      <c r="CP411" s="32"/>
      <c r="CQ411" s="32"/>
      <c r="CR411" s="32"/>
      <c r="CS411" s="32"/>
      <c r="CT411" s="32"/>
      <c r="CU411" s="32"/>
      <c r="CV411" s="32"/>
      <c r="CW411" s="32"/>
      <c r="CX411" s="32"/>
      <c r="CY411" s="32"/>
      <c r="CZ411" s="32"/>
      <c r="DA411" s="32"/>
      <c r="DB411" s="32"/>
      <c r="DC411" s="32"/>
      <c r="DD411" s="32"/>
      <c r="DE411" s="32"/>
      <c r="DF411" s="32"/>
      <c r="DG411" s="32"/>
      <c r="DH411" s="32"/>
      <c r="DI411" s="32"/>
      <c r="DJ411" s="32"/>
      <c r="DK411" s="32"/>
      <c r="DL411" s="32"/>
      <c r="DM411" s="32"/>
      <c r="DN411" s="32"/>
      <c r="DO411" s="32"/>
      <c r="DP411" s="32"/>
      <c r="DQ411" s="32"/>
      <c r="DR411" s="32"/>
      <c r="DS411" s="32"/>
      <c r="DT411" s="32"/>
      <c r="DU411" s="32"/>
      <c r="DV411" s="32"/>
      <c r="DW411" s="32"/>
      <c r="DX411" s="32"/>
      <c r="DY411" s="32"/>
      <c r="DZ411" s="32"/>
      <c r="EA411" s="32"/>
      <c r="EB411" s="32"/>
      <c r="EC411" s="32"/>
    </row>
    <row r="412" spans="1:133" s="13" customFormat="1" ht="110.25" x14ac:dyDescent="0.25">
      <c r="A412" s="130" t="s">
        <v>533</v>
      </c>
      <c r="B412" s="132" t="s">
        <v>745</v>
      </c>
      <c r="C412" s="118" t="s">
        <v>764</v>
      </c>
      <c r="D412" s="127" t="s">
        <v>765</v>
      </c>
      <c r="E412" s="127" t="s">
        <v>766</v>
      </c>
      <c r="F412" s="127" t="s">
        <v>767</v>
      </c>
      <c r="G412" s="137" t="s">
        <v>822</v>
      </c>
      <c r="H412" s="137" t="s">
        <v>1542</v>
      </c>
      <c r="I412" s="103" t="s">
        <v>824</v>
      </c>
      <c r="J412" s="103" t="s">
        <v>1682</v>
      </c>
      <c r="K412" s="178">
        <v>0</v>
      </c>
      <c r="L412" s="179">
        <v>100</v>
      </c>
      <c r="M412" s="54" t="s">
        <v>337</v>
      </c>
      <c r="N412" s="56" t="s">
        <v>369</v>
      </c>
      <c r="O412" s="54" t="s">
        <v>193</v>
      </c>
      <c r="P412" s="58" t="s">
        <v>42</v>
      </c>
      <c r="Q412" s="54" t="s">
        <v>1679</v>
      </c>
      <c r="R412" s="182">
        <v>100</v>
      </c>
      <c r="S412" s="178">
        <v>100</v>
      </c>
      <c r="T412" s="178">
        <v>100</v>
      </c>
      <c r="U412" s="183">
        <v>100</v>
      </c>
      <c r="V412" s="59">
        <v>250000000</v>
      </c>
      <c r="W412" s="60"/>
      <c r="X412" s="60"/>
      <c r="Y412" s="60"/>
      <c r="Z412" s="60"/>
      <c r="AA412" s="61"/>
      <c r="AB412" s="62">
        <f>1500000000/4</f>
        <v>375000000</v>
      </c>
      <c r="AC412" s="60"/>
      <c r="AD412" s="60"/>
      <c r="AE412" s="60"/>
      <c r="AF412" s="60"/>
      <c r="AG412" s="60"/>
      <c r="AH412" s="63"/>
      <c r="AI412" s="62">
        <f>1575000000/4</f>
        <v>393750000</v>
      </c>
      <c r="AJ412" s="60"/>
      <c r="AK412" s="60"/>
      <c r="AL412" s="60"/>
      <c r="AM412" s="60"/>
      <c r="AN412" s="60"/>
      <c r="AO412" s="63"/>
      <c r="AP412" s="62">
        <f>1654000000/4</f>
        <v>413500000</v>
      </c>
      <c r="AQ412" s="60"/>
      <c r="AR412" s="60"/>
      <c r="AS412" s="60"/>
      <c r="AT412" s="60"/>
      <c r="AU412" s="60"/>
      <c r="AV412" s="64"/>
      <c r="AW412" s="55">
        <f t="shared" si="33"/>
        <v>250000000</v>
      </c>
      <c r="AX412" s="55">
        <f t="shared" si="34"/>
        <v>375000000</v>
      </c>
      <c r="AY412" s="55">
        <f t="shared" si="35"/>
        <v>393750000</v>
      </c>
      <c r="AZ412" s="55">
        <f t="shared" si="36"/>
        <v>413500000</v>
      </c>
      <c r="BA412" s="55">
        <f t="shared" si="37"/>
        <v>1432250000</v>
      </c>
      <c r="BB412" s="32"/>
      <c r="BC412" s="32"/>
      <c r="BD412" s="32"/>
      <c r="BE412" s="32"/>
      <c r="BF412" s="32"/>
      <c r="BG412" s="32"/>
      <c r="BH412" s="32"/>
      <c r="BI412" s="32"/>
      <c r="BJ412" s="32"/>
      <c r="BK412" s="32"/>
      <c r="BL412" s="32"/>
      <c r="BM412" s="32"/>
      <c r="BN412" s="32"/>
      <c r="BO412" s="32"/>
      <c r="BP412" s="32"/>
      <c r="BQ412" s="32"/>
      <c r="BR412" s="32"/>
      <c r="BS412" s="32"/>
      <c r="BT412" s="32"/>
      <c r="BU412" s="32"/>
      <c r="BV412" s="32"/>
      <c r="BW412" s="32"/>
      <c r="BX412" s="32"/>
      <c r="BY412" s="32"/>
      <c r="BZ412" s="32"/>
      <c r="CA412" s="32"/>
      <c r="CB412" s="32"/>
      <c r="CC412" s="32"/>
      <c r="CD412" s="32"/>
      <c r="CE412" s="32"/>
      <c r="CF412" s="32"/>
      <c r="CG412" s="32"/>
      <c r="CH412" s="32"/>
      <c r="CI412" s="32"/>
      <c r="CJ412" s="32"/>
      <c r="CK412" s="32"/>
      <c r="CL412" s="32"/>
      <c r="CM412" s="32"/>
      <c r="CN412" s="32"/>
      <c r="CO412" s="32"/>
      <c r="CP412" s="32"/>
      <c r="CQ412" s="32"/>
      <c r="CR412" s="32"/>
      <c r="CS412" s="32"/>
      <c r="CT412" s="32"/>
      <c r="CU412" s="32"/>
      <c r="CV412" s="32"/>
      <c r="CW412" s="32"/>
      <c r="CX412" s="32"/>
      <c r="CY412" s="32"/>
      <c r="CZ412" s="32"/>
      <c r="DA412" s="32"/>
      <c r="DB412" s="32"/>
      <c r="DC412" s="32"/>
      <c r="DD412" s="32"/>
      <c r="DE412" s="32"/>
      <c r="DF412" s="32"/>
      <c r="DG412" s="32"/>
      <c r="DH412" s="32"/>
      <c r="DI412" s="32"/>
      <c r="DJ412" s="32"/>
      <c r="DK412" s="32"/>
      <c r="DL412" s="32"/>
      <c r="DM412" s="32"/>
      <c r="DN412" s="32"/>
      <c r="DO412" s="32"/>
      <c r="DP412" s="32"/>
      <c r="DQ412" s="32"/>
      <c r="DR412" s="32"/>
      <c r="DS412" s="32"/>
      <c r="DT412" s="32"/>
      <c r="DU412" s="32"/>
      <c r="DV412" s="32"/>
      <c r="DW412" s="32"/>
      <c r="DX412" s="32"/>
      <c r="DY412" s="32"/>
      <c r="DZ412" s="32"/>
      <c r="EA412" s="32"/>
      <c r="EB412" s="32"/>
      <c r="EC412" s="32"/>
    </row>
    <row r="413" spans="1:133" s="13" customFormat="1" ht="110.25" x14ac:dyDescent="0.25">
      <c r="A413" s="130" t="s">
        <v>533</v>
      </c>
      <c r="B413" s="132" t="s">
        <v>745</v>
      </c>
      <c r="C413" s="118" t="s">
        <v>764</v>
      </c>
      <c r="D413" s="127" t="s">
        <v>765</v>
      </c>
      <c r="E413" s="127" t="s">
        <v>766</v>
      </c>
      <c r="F413" s="127" t="s">
        <v>767</v>
      </c>
      <c r="G413" s="137" t="s">
        <v>822</v>
      </c>
      <c r="H413" s="137" t="s">
        <v>1543</v>
      </c>
      <c r="I413" s="103" t="s">
        <v>825</v>
      </c>
      <c r="J413" s="103" t="s">
        <v>1683</v>
      </c>
      <c r="K413" s="56">
        <v>450</v>
      </c>
      <c r="L413" s="86">
        <v>2000</v>
      </c>
      <c r="M413" s="54" t="s">
        <v>337</v>
      </c>
      <c r="N413" s="56" t="s">
        <v>369</v>
      </c>
      <c r="O413" s="54" t="s">
        <v>193</v>
      </c>
      <c r="P413" s="58" t="s">
        <v>39</v>
      </c>
      <c r="Q413" s="171" t="s">
        <v>1680</v>
      </c>
      <c r="R413" s="182">
        <v>0</v>
      </c>
      <c r="S413" s="178">
        <v>400</v>
      </c>
      <c r="T413" s="178">
        <v>800</v>
      </c>
      <c r="U413" s="183">
        <v>800</v>
      </c>
      <c r="V413" s="59"/>
      <c r="W413" s="60"/>
      <c r="X413" s="60"/>
      <c r="Y413" s="60"/>
      <c r="Z413" s="60"/>
      <c r="AA413" s="61"/>
      <c r="AB413" s="62">
        <f>1500000000/4</f>
        <v>375000000</v>
      </c>
      <c r="AC413" s="60"/>
      <c r="AD413" s="60"/>
      <c r="AE413" s="60"/>
      <c r="AF413" s="60"/>
      <c r="AG413" s="60"/>
      <c r="AH413" s="63"/>
      <c r="AI413" s="62">
        <f>1575000000/4</f>
        <v>393750000</v>
      </c>
      <c r="AJ413" s="60"/>
      <c r="AK413" s="60"/>
      <c r="AL413" s="60"/>
      <c r="AM413" s="60"/>
      <c r="AN413" s="60"/>
      <c r="AO413" s="63"/>
      <c r="AP413" s="62">
        <f>1654000000/4</f>
        <v>413500000</v>
      </c>
      <c r="AQ413" s="60"/>
      <c r="AR413" s="60"/>
      <c r="AS413" s="60"/>
      <c r="AT413" s="60"/>
      <c r="AU413" s="60"/>
      <c r="AV413" s="64"/>
      <c r="AW413" s="55">
        <f t="shared" si="33"/>
        <v>0</v>
      </c>
      <c r="AX413" s="55">
        <f t="shared" si="34"/>
        <v>375000000</v>
      </c>
      <c r="AY413" s="55">
        <f t="shared" si="35"/>
        <v>393750000</v>
      </c>
      <c r="AZ413" s="55">
        <f t="shared" si="36"/>
        <v>413500000</v>
      </c>
      <c r="BA413" s="55">
        <f t="shared" si="37"/>
        <v>1182250000</v>
      </c>
      <c r="BB413" s="32"/>
      <c r="BC413" s="32"/>
      <c r="BD413" s="32"/>
      <c r="BE413" s="32"/>
      <c r="BF413" s="32"/>
      <c r="BG413" s="32"/>
      <c r="BH413" s="32"/>
      <c r="BI413" s="32"/>
      <c r="BJ413" s="32"/>
      <c r="BK413" s="32"/>
      <c r="BL413" s="32"/>
      <c r="BM413" s="32"/>
      <c r="BN413" s="32"/>
      <c r="BO413" s="32"/>
      <c r="BP413" s="32"/>
      <c r="BQ413" s="32"/>
      <c r="BR413" s="32"/>
      <c r="BS413" s="32"/>
      <c r="BT413" s="32"/>
      <c r="BU413" s="32"/>
      <c r="BV413" s="32"/>
      <c r="BW413" s="32"/>
      <c r="BX413" s="32"/>
      <c r="BY413" s="32"/>
      <c r="BZ413" s="32"/>
      <c r="CA413" s="32"/>
      <c r="CB413" s="32"/>
      <c r="CC413" s="32"/>
      <c r="CD413" s="32"/>
      <c r="CE413" s="32"/>
      <c r="CF413" s="32"/>
      <c r="CG413" s="32"/>
      <c r="CH413" s="32"/>
      <c r="CI413" s="32"/>
      <c r="CJ413" s="32"/>
      <c r="CK413" s="32"/>
      <c r="CL413" s="32"/>
      <c r="CM413" s="32"/>
      <c r="CN413" s="32"/>
      <c r="CO413" s="32"/>
      <c r="CP413" s="32"/>
      <c r="CQ413" s="32"/>
      <c r="CR413" s="32"/>
      <c r="CS413" s="32"/>
      <c r="CT413" s="32"/>
      <c r="CU413" s="32"/>
      <c r="CV413" s="32"/>
      <c r="CW413" s="32"/>
      <c r="CX413" s="32"/>
      <c r="CY413" s="32"/>
      <c r="CZ413" s="32"/>
      <c r="DA413" s="32"/>
      <c r="DB413" s="32"/>
      <c r="DC413" s="32"/>
      <c r="DD413" s="32"/>
      <c r="DE413" s="32"/>
      <c r="DF413" s="32"/>
      <c r="DG413" s="32"/>
      <c r="DH413" s="32"/>
      <c r="DI413" s="32"/>
      <c r="DJ413" s="32"/>
      <c r="DK413" s="32"/>
      <c r="DL413" s="32"/>
      <c r="DM413" s="32"/>
      <c r="DN413" s="32"/>
      <c r="DO413" s="32"/>
      <c r="DP413" s="32"/>
      <c r="DQ413" s="32"/>
      <c r="DR413" s="32"/>
      <c r="DS413" s="32"/>
      <c r="DT413" s="32"/>
      <c r="DU413" s="32"/>
      <c r="DV413" s="32"/>
      <c r="DW413" s="32"/>
      <c r="DX413" s="32"/>
      <c r="DY413" s="32"/>
      <c r="DZ413" s="32"/>
      <c r="EA413" s="32"/>
      <c r="EB413" s="32"/>
      <c r="EC413" s="32"/>
    </row>
    <row r="414" spans="1:133" s="13" customFormat="1" ht="110.25" x14ac:dyDescent="0.25">
      <c r="A414" s="130" t="s">
        <v>533</v>
      </c>
      <c r="B414" s="132" t="s">
        <v>745</v>
      </c>
      <c r="C414" s="118" t="s">
        <v>764</v>
      </c>
      <c r="D414" s="127" t="s">
        <v>765</v>
      </c>
      <c r="E414" s="127" t="s">
        <v>766</v>
      </c>
      <c r="F414" s="127" t="s">
        <v>767</v>
      </c>
      <c r="G414" s="137" t="s">
        <v>822</v>
      </c>
      <c r="H414" s="137" t="s">
        <v>1544</v>
      </c>
      <c r="I414" s="103" t="s">
        <v>826</v>
      </c>
      <c r="J414" s="103" t="s">
        <v>1683</v>
      </c>
      <c r="K414" s="56" t="s">
        <v>41</v>
      </c>
      <c r="L414" s="86">
        <v>3200</v>
      </c>
      <c r="M414" s="54" t="s">
        <v>337</v>
      </c>
      <c r="N414" s="56" t="s">
        <v>369</v>
      </c>
      <c r="O414" s="54" t="s">
        <v>193</v>
      </c>
      <c r="P414" s="58" t="s">
        <v>39</v>
      </c>
      <c r="Q414" s="171" t="s">
        <v>1680</v>
      </c>
      <c r="R414" s="182">
        <v>200</v>
      </c>
      <c r="S414" s="178">
        <v>1000</v>
      </c>
      <c r="T414" s="178">
        <v>1000</v>
      </c>
      <c r="U414" s="183">
        <v>1000</v>
      </c>
      <c r="V414" s="59">
        <v>180000000</v>
      </c>
      <c r="W414" s="60"/>
      <c r="X414" s="60"/>
      <c r="Y414" s="60"/>
      <c r="Z414" s="60"/>
      <c r="AA414" s="61"/>
      <c r="AB414" s="62">
        <f>1500000000/4</f>
        <v>375000000</v>
      </c>
      <c r="AC414" s="60"/>
      <c r="AD414" s="60"/>
      <c r="AE414" s="60"/>
      <c r="AF414" s="60"/>
      <c r="AG414" s="60"/>
      <c r="AH414" s="63"/>
      <c r="AI414" s="62">
        <f>1575000000/4</f>
        <v>393750000</v>
      </c>
      <c r="AJ414" s="60"/>
      <c r="AK414" s="60"/>
      <c r="AL414" s="60"/>
      <c r="AM414" s="60"/>
      <c r="AN414" s="60"/>
      <c r="AO414" s="63"/>
      <c r="AP414" s="62">
        <f>1654000000/4</f>
        <v>413500000</v>
      </c>
      <c r="AQ414" s="60"/>
      <c r="AR414" s="60"/>
      <c r="AS414" s="60"/>
      <c r="AT414" s="60"/>
      <c r="AU414" s="60"/>
      <c r="AV414" s="64"/>
      <c r="AW414" s="55">
        <f t="shared" si="33"/>
        <v>180000000</v>
      </c>
      <c r="AX414" s="55">
        <f t="shared" si="34"/>
        <v>375000000</v>
      </c>
      <c r="AY414" s="55">
        <f t="shared" si="35"/>
        <v>393750000</v>
      </c>
      <c r="AZ414" s="55">
        <f t="shared" si="36"/>
        <v>413500000</v>
      </c>
      <c r="BA414" s="55">
        <f t="shared" si="37"/>
        <v>1362250000</v>
      </c>
      <c r="BB414" s="32"/>
      <c r="BC414" s="32"/>
      <c r="BD414" s="32"/>
      <c r="BE414" s="32"/>
      <c r="BF414" s="32"/>
      <c r="BG414" s="32"/>
      <c r="BH414" s="32"/>
      <c r="BI414" s="32"/>
      <c r="BJ414" s="32"/>
      <c r="BK414" s="32"/>
      <c r="BL414" s="32"/>
      <c r="BM414" s="32"/>
      <c r="BN414" s="32"/>
      <c r="BO414" s="32"/>
      <c r="BP414" s="32"/>
      <c r="BQ414" s="32"/>
      <c r="BR414" s="32"/>
      <c r="BS414" s="32"/>
      <c r="BT414" s="32"/>
      <c r="BU414" s="32"/>
      <c r="BV414" s="32"/>
      <c r="BW414" s="32"/>
      <c r="BX414" s="32"/>
      <c r="BY414" s="32"/>
      <c r="BZ414" s="32"/>
      <c r="CA414" s="32"/>
      <c r="CB414" s="32"/>
      <c r="CC414" s="32"/>
      <c r="CD414" s="32"/>
      <c r="CE414" s="32"/>
      <c r="CF414" s="32"/>
      <c r="CG414" s="32"/>
      <c r="CH414" s="32"/>
      <c r="CI414" s="32"/>
      <c r="CJ414" s="32"/>
      <c r="CK414" s="32"/>
      <c r="CL414" s="32"/>
      <c r="CM414" s="32"/>
      <c r="CN414" s="32"/>
      <c r="CO414" s="32"/>
      <c r="CP414" s="32"/>
      <c r="CQ414" s="32"/>
      <c r="CR414" s="32"/>
      <c r="CS414" s="32"/>
      <c r="CT414" s="32"/>
      <c r="CU414" s="32"/>
      <c r="CV414" s="32"/>
      <c r="CW414" s="32"/>
      <c r="CX414" s="32"/>
      <c r="CY414" s="32"/>
      <c r="CZ414" s="32"/>
      <c r="DA414" s="32"/>
      <c r="DB414" s="32"/>
      <c r="DC414" s="32"/>
      <c r="DD414" s="32"/>
      <c r="DE414" s="32"/>
      <c r="DF414" s="32"/>
      <c r="DG414" s="32"/>
      <c r="DH414" s="32"/>
      <c r="DI414" s="32"/>
      <c r="DJ414" s="32"/>
      <c r="DK414" s="32"/>
      <c r="DL414" s="32"/>
      <c r="DM414" s="32"/>
      <c r="DN414" s="32"/>
      <c r="DO414" s="32"/>
      <c r="DP414" s="32"/>
      <c r="DQ414" s="32"/>
      <c r="DR414" s="32"/>
      <c r="DS414" s="32"/>
      <c r="DT414" s="32"/>
      <c r="DU414" s="32"/>
      <c r="DV414" s="32"/>
      <c r="DW414" s="32"/>
      <c r="DX414" s="32"/>
      <c r="DY414" s="32"/>
      <c r="DZ414" s="32"/>
      <c r="EA414" s="32"/>
      <c r="EB414" s="32"/>
      <c r="EC414" s="32"/>
    </row>
    <row r="415" spans="1:133" s="13" customFormat="1" ht="63" x14ac:dyDescent="0.25">
      <c r="A415" s="130" t="s">
        <v>533</v>
      </c>
      <c r="B415" s="132" t="s">
        <v>827</v>
      </c>
      <c r="C415" s="118" t="s">
        <v>828</v>
      </c>
      <c r="D415" s="110" t="s">
        <v>829</v>
      </c>
      <c r="E415" s="136">
        <v>0.61</v>
      </c>
      <c r="F415" s="136">
        <v>0.7</v>
      </c>
      <c r="G415" s="104" t="s">
        <v>830</v>
      </c>
      <c r="H415" s="104" t="s">
        <v>1545</v>
      </c>
      <c r="I415" s="103" t="s">
        <v>831</v>
      </c>
      <c r="J415" s="103" t="s">
        <v>1683</v>
      </c>
      <c r="K415" s="56">
        <v>0</v>
      </c>
      <c r="L415" s="86">
        <v>3</v>
      </c>
      <c r="M415" s="98" t="s">
        <v>220</v>
      </c>
      <c r="N415" s="56" t="s">
        <v>187</v>
      </c>
      <c r="O415" s="54" t="s">
        <v>832</v>
      </c>
      <c r="P415" s="58" t="s">
        <v>39</v>
      </c>
      <c r="Q415" s="171" t="s">
        <v>1680</v>
      </c>
      <c r="R415" s="182">
        <v>0</v>
      </c>
      <c r="S415" s="178">
        <v>1</v>
      </c>
      <c r="T415" s="178">
        <v>1</v>
      </c>
      <c r="U415" s="183">
        <v>1</v>
      </c>
      <c r="V415" s="59"/>
      <c r="W415" s="60"/>
      <c r="X415" s="60"/>
      <c r="Y415" s="60"/>
      <c r="Z415" s="60"/>
      <c r="AA415" s="61"/>
      <c r="AB415" s="62"/>
      <c r="AC415" s="60"/>
      <c r="AD415" s="60"/>
      <c r="AE415" s="60"/>
      <c r="AF415" s="60">
        <v>21186000000</v>
      </c>
      <c r="AG415" s="60"/>
      <c r="AH415" s="63"/>
      <c r="AI415" s="62"/>
      <c r="AJ415" s="60"/>
      <c r="AK415" s="60"/>
      <c r="AL415" s="60"/>
      <c r="AM415" s="60">
        <v>31779000000</v>
      </c>
      <c r="AN415" s="60"/>
      <c r="AO415" s="63"/>
      <c r="AP415" s="62"/>
      <c r="AQ415" s="60"/>
      <c r="AR415" s="60"/>
      <c r="AS415" s="60"/>
      <c r="AT415" s="60">
        <v>10655000000</v>
      </c>
      <c r="AU415" s="60"/>
      <c r="AV415" s="64"/>
      <c r="AW415" s="55">
        <f t="shared" si="33"/>
        <v>0</v>
      </c>
      <c r="AX415" s="55">
        <f t="shared" si="34"/>
        <v>21186000000</v>
      </c>
      <c r="AY415" s="55">
        <f t="shared" si="35"/>
        <v>31779000000</v>
      </c>
      <c r="AZ415" s="55">
        <f t="shared" si="36"/>
        <v>10655000000</v>
      </c>
      <c r="BA415" s="55">
        <f t="shared" si="37"/>
        <v>63620000000</v>
      </c>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c r="CP415" s="4"/>
      <c r="CQ415" s="4"/>
      <c r="CR415" s="4"/>
      <c r="CS415" s="4"/>
      <c r="CT415" s="4"/>
      <c r="CU415" s="4"/>
      <c r="CV415" s="4"/>
      <c r="CW415" s="4"/>
      <c r="CX415" s="4"/>
      <c r="CY415" s="4"/>
      <c r="CZ415" s="4"/>
      <c r="DA415" s="4"/>
      <c r="DB415" s="4"/>
      <c r="DC415" s="4"/>
      <c r="DD415" s="4"/>
      <c r="DE415" s="4"/>
      <c r="DF415" s="4"/>
      <c r="DG415" s="4"/>
      <c r="DH415" s="4"/>
      <c r="DI415" s="4"/>
      <c r="DJ415" s="4"/>
      <c r="DK415" s="4"/>
      <c r="DL415" s="4"/>
      <c r="DM415" s="4"/>
      <c r="DN415" s="4"/>
      <c r="DO415" s="4"/>
      <c r="DP415" s="4"/>
      <c r="DQ415" s="4"/>
      <c r="DR415" s="4"/>
      <c r="DS415" s="4"/>
      <c r="DT415" s="4"/>
      <c r="DU415" s="4"/>
      <c r="DV415" s="4"/>
      <c r="DW415" s="4"/>
      <c r="DX415" s="4"/>
      <c r="DY415" s="4"/>
      <c r="DZ415" s="4"/>
      <c r="EA415" s="4"/>
      <c r="EB415" s="4"/>
      <c r="EC415" s="4"/>
    </row>
    <row r="416" spans="1:133" s="13" customFormat="1" ht="63" x14ac:dyDescent="0.25">
      <c r="A416" s="130" t="s">
        <v>533</v>
      </c>
      <c r="B416" s="132" t="s">
        <v>827</v>
      </c>
      <c r="C416" s="118" t="s">
        <v>828</v>
      </c>
      <c r="D416" s="110" t="s">
        <v>829</v>
      </c>
      <c r="E416" s="136">
        <v>0.61</v>
      </c>
      <c r="F416" s="136">
        <v>0.7</v>
      </c>
      <c r="G416" s="104" t="s">
        <v>833</v>
      </c>
      <c r="H416" s="104" t="s">
        <v>1546</v>
      </c>
      <c r="I416" s="103" t="s">
        <v>834</v>
      </c>
      <c r="J416" s="103" t="s">
        <v>1684</v>
      </c>
      <c r="K416" s="56">
        <v>10</v>
      </c>
      <c r="L416" s="86">
        <v>116</v>
      </c>
      <c r="M416" s="98" t="s">
        <v>835</v>
      </c>
      <c r="N416" s="56" t="s">
        <v>187</v>
      </c>
      <c r="O416" s="54" t="s">
        <v>832</v>
      </c>
      <c r="P416" s="58" t="s">
        <v>39</v>
      </c>
      <c r="Q416" s="171" t="s">
        <v>1680</v>
      </c>
      <c r="R416" s="182">
        <v>1</v>
      </c>
      <c r="S416" s="178">
        <v>20</v>
      </c>
      <c r="T416" s="178">
        <v>50</v>
      </c>
      <c r="U416" s="183">
        <v>45</v>
      </c>
      <c r="V416" s="59">
        <v>11000000000</v>
      </c>
      <c r="W416" s="60"/>
      <c r="X416" s="60"/>
      <c r="Y416" s="60"/>
      <c r="Z416" s="60"/>
      <c r="AA416" s="61"/>
      <c r="AB416" s="62"/>
      <c r="AC416" s="60"/>
      <c r="AD416" s="60"/>
      <c r="AE416" s="60"/>
      <c r="AF416" s="60">
        <v>77068456518</v>
      </c>
      <c r="AG416" s="60"/>
      <c r="AH416" s="63"/>
      <c r="AI416" s="62"/>
      <c r="AJ416" s="60"/>
      <c r="AK416" s="60"/>
      <c r="AL416" s="60"/>
      <c r="AM416" s="60">
        <v>18631196275.07</v>
      </c>
      <c r="AN416" s="60"/>
      <c r="AO416" s="63"/>
      <c r="AP416" s="62"/>
      <c r="AQ416" s="60"/>
      <c r="AR416" s="60"/>
      <c r="AS416" s="60"/>
      <c r="AT416" s="60">
        <v>31868955825.91</v>
      </c>
      <c r="AU416" s="60"/>
      <c r="AV416" s="64"/>
      <c r="AW416" s="55">
        <f t="shared" si="33"/>
        <v>11000000000</v>
      </c>
      <c r="AX416" s="55">
        <f t="shared" si="34"/>
        <v>77068456518</v>
      </c>
      <c r="AY416" s="55">
        <f t="shared" si="35"/>
        <v>18631196275.07</v>
      </c>
      <c r="AZ416" s="55">
        <f t="shared" si="36"/>
        <v>31868955825.91</v>
      </c>
      <c r="BA416" s="55">
        <f t="shared" si="37"/>
        <v>138568608618.98001</v>
      </c>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row>
    <row r="417" spans="1:133" s="13" customFormat="1" ht="63" x14ac:dyDescent="0.25">
      <c r="A417" s="130" t="s">
        <v>533</v>
      </c>
      <c r="B417" s="132" t="s">
        <v>827</v>
      </c>
      <c r="C417" s="118" t="s">
        <v>828</v>
      </c>
      <c r="D417" s="110" t="s">
        <v>829</v>
      </c>
      <c r="E417" s="136">
        <v>0.61</v>
      </c>
      <c r="F417" s="136">
        <v>0.7</v>
      </c>
      <c r="G417" s="139" t="s">
        <v>836</v>
      </c>
      <c r="H417" s="139" t="s">
        <v>1547</v>
      </c>
      <c r="I417" s="103" t="s">
        <v>837</v>
      </c>
      <c r="J417" s="103" t="s">
        <v>1683</v>
      </c>
      <c r="K417" s="56">
        <v>56</v>
      </c>
      <c r="L417" s="86">
        <v>138</v>
      </c>
      <c r="M417" s="103" t="s">
        <v>838</v>
      </c>
      <c r="N417" s="56" t="s">
        <v>187</v>
      </c>
      <c r="O417" s="54" t="s">
        <v>832</v>
      </c>
      <c r="P417" s="58" t="s">
        <v>39</v>
      </c>
      <c r="Q417" s="171" t="s">
        <v>1680</v>
      </c>
      <c r="R417" s="182">
        <v>10</v>
      </c>
      <c r="S417" s="178">
        <v>34</v>
      </c>
      <c r="T417" s="178">
        <v>34</v>
      </c>
      <c r="U417" s="183">
        <v>60</v>
      </c>
      <c r="V417" s="59">
        <v>44500000000</v>
      </c>
      <c r="W417" s="60"/>
      <c r="X417" s="60"/>
      <c r="Y417" s="60"/>
      <c r="Z417" s="60"/>
      <c r="AA417" s="61"/>
      <c r="AB417" s="62">
        <v>32500000000</v>
      </c>
      <c r="AC417" s="60"/>
      <c r="AD417" s="60"/>
      <c r="AE417" s="60"/>
      <c r="AF417" s="60"/>
      <c r="AG417" s="60"/>
      <c r="AH417" s="63"/>
      <c r="AI417" s="62">
        <v>22500000000</v>
      </c>
      <c r="AJ417" s="60"/>
      <c r="AK417" s="60"/>
      <c r="AL417" s="60"/>
      <c r="AM417" s="60"/>
      <c r="AN417" s="60"/>
      <c r="AO417" s="63"/>
      <c r="AP417" s="62">
        <v>20000000000</v>
      </c>
      <c r="AQ417" s="60"/>
      <c r="AR417" s="60"/>
      <c r="AS417" s="60"/>
      <c r="AT417" s="60"/>
      <c r="AU417" s="60"/>
      <c r="AV417" s="64"/>
      <c r="AW417" s="55">
        <f t="shared" si="33"/>
        <v>44500000000</v>
      </c>
      <c r="AX417" s="55">
        <f t="shared" si="34"/>
        <v>32500000000</v>
      </c>
      <c r="AY417" s="55">
        <f t="shared" si="35"/>
        <v>22500000000</v>
      </c>
      <c r="AZ417" s="55">
        <f t="shared" si="36"/>
        <v>20000000000</v>
      </c>
      <c r="BA417" s="55">
        <f t="shared" si="37"/>
        <v>119500000000</v>
      </c>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c r="CP417" s="4"/>
      <c r="CQ417" s="4"/>
      <c r="CR417" s="4"/>
      <c r="CS417" s="4"/>
      <c r="CT417" s="4"/>
      <c r="CU417" s="4"/>
      <c r="CV417" s="4"/>
      <c r="CW417" s="4"/>
      <c r="CX417" s="4"/>
      <c r="CY417" s="4"/>
      <c r="CZ417" s="4"/>
      <c r="DA417" s="4"/>
      <c r="DB417" s="4"/>
      <c r="DC417" s="4"/>
      <c r="DD417" s="4"/>
      <c r="DE417" s="4"/>
      <c r="DF417" s="4"/>
      <c r="DG417" s="4"/>
      <c r="DH417" s="4"/>
      <c r="DI417" s="4"/>
      <c r="DJ417" s="4"/>
      <c r="DK417" s="4"/>
      <c r="DL417" s="4"/>
      <c r="DM417" s="4"/>
      <c r="DN417" s="4"/>
      <c r="DO417" s="4"/>
      <c r="DP417" s="4"/>
      <c r="DQ417" s="4"/>
      <c r="DR417" s="4"/>
      <c r="DS417" s="4"/>
      <c r="DT417" s="4"/>
      <c r="DU417" s="4"/>
      <c r="DV417" s="4"/>
      <c r="DW417" s="4"/>
      <c r="DX417" s="4"/>
      <c r="DY417" s="4"/>
      <c r="DZ417" s="4"/>
      <c r="EA417" s="4"/>
      <c r="EB417" s="4"/>
      <c r="EC417" s="4"/>
    </row>
    <row r="418" spans="1:133" s="13" customFormat="1" ht="63" x14ac:dyDescent="0.25">
      <c r="A418" s="130" t="s">
        <v>533</v>
      </c>
      <c r="B418" s="132" t="s">
        <v>827</v>
      </c>
      <c r="C418" s="118" t="s">
        <v>828</v>
      </c>
      <c r="D418" s="110" t="s">
        <v>829</v>
      </c>
      <c r="E418" s="136">
        <v>0.61</v>
      </c>
      <c r="F418" s="136">
        <v>0.7</v>
      </c>
      <c r="G418" s="139" t="s">
        <v>836</v>
      </c>
      <c r="H418" s="139" t="s">
        <v>1548</v>
      </c>
      <c r="I418" s="103" t="s">
        <v>839</v>
      </c>
      <c r="J418" s="103" t="s">
        <v>1683</v>
      </c>
      <c r="K418" s="56">
        <v>0</v>
      </c>
      <c r="L418" s="86">
        <v>10</v>
      </c>
      <c r="M418" s="103" t="s">
        <v>838</v>
      </c>
      <c r="N418" s="56" t="s">
        <v>187</v>
      </c>
      <c r="O418" s="54" t="s">
        <v>832</v>
      </c>
      <c r="P418" s="58" t="s">
        <v>39</v>
      </c>
      <c r="Q418" s="171" t="s">
        <v>1680</v>
      </c>
      <c r="R418" s="182">
        <v>0</v>
      </c>
      <c r="S418" s="178">
        <v>2</v>
      </c>
      <c r="T418" s="178">
        <v>4</v>
      </c>
      <c r="U418" s="183">
        <v>4</v>
      </c>
      <c r="V418" s="59"/>
      <c r="W418" s="60"/>
      <c r="X418" s="60"/>
      <c r="Y418" s="60"/>
      <c r="Z418" s="60"/>
      <c r="AA418" s="61"/>
      <c r="AB418" s="62">
        <v>7750000000</v>
      </c>
      <c r="AC418" s="60"/>
      <c r="AD418" s="60"/>
      <c r="AE418" s="60"/>
      <c r="AF418" s="60"/>
      <c r="AG418" s="60"/>
      <c r="AH418" s="63"/>
      <c r="AI418" s="62">
        <v>7750000000</v>
      </c>
      <c r="AJ418" s="60"/>
      <c r="AK418" s="60"/>
      <c r="AL418" s="60"/>
      <c r="AM418" s="60"/>
      <c r="AN418" s="60"/>
      <c r="AO418" s="63"/>
      <c r="AP418" s="62">
        <v>7750000000</v>
      </c>
      <c r="AQ418" s="60"/>
      <c r="AR418" s="60"/>
      <c r="AS418" s="60"/>
      <c r="AT418" s="60"/>
      <c r="AU418" s="60"/>
      <c r="AV418" s="64"/>
      <c r="AW418" s="55">
        <f t="shared" si="33"/>
        <v>0</v>
      </c>
      <c r="AX418" s="55">
        <f t="shared" si="34"/>
        <v>7750000000</v>
      </c>
      <c r="AY418" s="55">
        <f t="shared" si="35"/>
        <v>7750000000</v>
      </c>
      <c r="AZ418" s="55">
        <f t="shared" si="36"/>
        <v>7750000000</v>
      </c>
      <c r="BA418" s="55">
        <f t="shared" si="37"/>
        <v>23250000000</v>
      </c>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c r="CP418" s="4"/>
      <c r="CQ418" s="4"/>
      <c r="CR418" s="4"/>
      <c r="CS418" s="4"/>
      <c r="CT418" s="4"/>
      <c r="CU418" s="4"/>
      <c r="CV418" s="4"/>
      <c r="CW418" s="4"/>
      <c r="CX418" s="4"/>
      <c r="CY418" s="4"/>
      <c r="CZ418" s="4"/>
      <c r="DA418" s="4"/>
      <c r="DB418" s="4"/>
      <c r="DC418" s="4"/>
      <c r="DD418" s="4"/>
      <c r="DE418" s="4"/>
      <c r="DF418" s="4"/>
      <c r="DG418" s="4"/>
      <c r="DH418" s="4"/>
      <c r="DI418" s="4"/>
      <c r="DJ418" s="4"/>
      <c r="DK418" s="4"/>
      <c r="DL418" s="4"/>
      <c r="DM418" s="4"/>
      <c r="DN418" s="4"/>
      <c r="DO418" s="4"/>
      <c r="DP418" s="4"/>
      <c r="DQ418" s="4"/>
      <c r="DR418" s="4"/>
      <c r="DS418" s="4"/>
      <c r="DT418" s="4"/>
      <c r="DU418" s="4"/>
      <c r="DV418" s="4"/>
      <c r="DW418" s="4"/>
      <c r="DX418" s="4"/>
      <c r="DY418" s="4"/>
      <c r="DZ418" s="4"/>
      <c r="EA418" s="4"/>
      <c r="EB418" s="4"/>
      <c r="EC418" s="4"/>
    </row>
    <row r="419" spans="1:133" s="13" customFormat="1" ht="78.75" x14ac:dyDescent="0.25">
      <c r="A419" s="130" t="s">
        <v>533</v>
      </c>
      <c r="B419" s="132" t="s">
        <v>827</v>
      </c>
      <c r="C419" s="118" t="s">
        <v>828</v>
      </c>
      <c r="D419" s="110" t="s">
        <v>829</v>
      </c>
      <c r="E419" s="136">
        <v>0.61</v>
      </c>
      <c r="F419" s="136">
        <v>0.7</v>
      </c>
      <c r="G419" s="139" t="s">
        <v>836</v>
      </c>
      <c r="H419" s="139" t="s">
        <v>1549</v>
      </c>
      <c r="I419" s="103" t="s">
        <v>840</v>
      </c>
      <c r="J419" s="103" t="s">
        <v>1682</v>
      </c>
      <c r="K419" s="178">
        <v>100</v>
      </c>
      <c r="L419" s="179">
        <v>100</v>
      </c>
      <c r="M419" s="103" t="s">
        <v>838</v>
      </c>
      <c r="N419" s="56" t="s">
        <v>187</v>
      </c>
      <c r="O419" s="54" t="s">
        <v>832</v>
      </c>
      <c r="P419" s="58" t="s">
        <v>42</v>
      </c>
      <c r="Q419" s="54" t="s">
        <v>1679</v>
      </c>
      <c r="R419" s="182">
        <v>100</v>
      </c>
      <c r="S419" s="178">
        <v>100</v>
      </c>
      <c r="T419" s="178">
        <v>100</v>
      </c>
      <c r="U419" s="183">
        <v>100</v>
      </c>
      <c r="V419" s="59">
        <v>10800000000</v>
      </c>
      <c r="W419" s="60"/>
      <c r="X419" s="60"/>
      <c r="Y419" s="60"/>
      <c r="Z419" s="60"/>
      <c r="AA419" s="61"/>
      <c r="AB419" s="62">
        <v>8340000000</v>
      </c>
      <c r="AC419" s="60"/>
      <c r="AD419" s="60"/>
      <c r="AE419" s="60"/>
      <c r="AF419" s="60"/>
      <c r="AG419" s="60"/>
      <c r="AH419" s="63"/>
      <c r="AI419" s="62">
        <v>7448000000</v>
      </c>
      <c r="AJ419" s="60"/>
      <c r="AK419" s="60"/>
      <c r="AL419" s="60"/>
      <c r="AM419" s="60"/>
      <c r="AN419" s="60"/>
      <c r="AO419" s="63"/>
      <c r="AP419" s="62">
        <v>9556000000</v>
      </c>
      <c r="AQ419" s="60"/>
      <c r="AR419" s="60"/>
      <c r="AS419" s="60"/>
      <c r="AT419" s="60"/>
      <c r="AU419" s="60"/>
      <c r="AV419" s="64"/>
      <c r="AW419" s="55">
        <f t="shared" si="33"/>
        <v>10800000000</v>
      </c>
      <c r="AX419" s="55">
        <f t="shared" si="34"/>
        <v>8340000000</v>
      </c>
      <c r="AY419" s="55">
        <f t="shared" si="35"/>
        <v>7448000000</v>
      </c>
      <c r="AZ419" s="55">
        <f t="shared" si="36"/>
        <v>9556000000</v>
      </c>
      <c r="BA419" s="55">
        <f t="shared" si="37"/>
        <v>36144000000</v>
      </c>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c r="CP419" s="4"/>
      <c r="CQ419" s="4"/>
      <c r="CR419" s="4"/>
      <c r="CS419" s="4"/>
      <c r="CT419" s="4"/>
      <c r="CU419" s="4"/>
      <c r="CV419" s="4"/>
      <c r="CW419" s="4"/>
      <c r="CX419" s="4"/>
      <c r="CY419" s="4"/>
      <c r="CZ419" s="4"/>
      <c r="DA419" s="4"/>
      <c r="DB419" s="4"/>
      <c r="DC419" s="4"/>
      <c r="DD419" s="4"/>
      <c r="DE419" s="4"/>
      <c r="DF419" s="4"/>
      <c r="DG419" s="4"/>
      <c r="DH419" s="4"/>
      <c r="DI419" s="4"/>
      <c r="DJ419" s="4"/>
      <c r="DK419" s="4"/>
      <c r="DL419" s="4"/>
      <c r="DM419" s="4"/>
      <c r="DN419" s="4"/>
      <c r="DO419" s="4"/>
      <c r="DP419" s="4"/>
      <c r="DQ419" s="4"/>
      <c r="DR419" s="4"/>
      <c r="DS419" s="4"/>
      <c r="DT419" s="4"/>
      <c r="DU419" s="4"/>
      <c r="DV419" s="4"/>
      <c r="DW419" s="4"/>
      <c r="DX419" s="4"/>
      <c r="DY419" s="4"/>
      <c r="DZ419" s="4"/>
      <c r="EA419" s="4"/>
      <c r="EB419" s="4"/>
      <c r="EC419" s="4"/>
    </row>
    <row r="420" spans="1:133" s="13" customFormat="1" ht="63" x14ac:dyDescent="0.25">
      <c r="A420" s="130" t="s">
        <v>533</v>
      </c>
      <c r="B420" s="132" t="s">
        <v>827</v>
      </c>
      <c r="C420" s="118" t="s">
        <v>828</v>
      </c>
      <c r="D420" s="110" t="s">
        <v>829</v>
      </c>
      <c r="E420" s="136">
        <v>0.61</v>
      </c>
      <c r="F420" s="136">
        <v>0.7</v>
      </c>
      <c r="G420" s="139" t="s">
        <v>836</v>
      </c>
      <c r="H420" s="139" t="s">
        <v>1550</v>
      </c>
      <c r="I420" s="103" t="s">
        <v>841</v>
      </c>
      <c r="J420" s="103" t="s">
        <v>1682</v>
      </c>
      <c r="K420" s="178">
        <v>0</v>
      </c>
      <c r="L420" s="179">
        <v>100</v>
      </c>
      <c r="M420" s="103" t="s">
        <v>163</v>
      </c>
      <c r="N420" s="56" t="s">
        <v>187</v>
      </c>
      <c r="O420" s="54" t="s">
        <v>832</v>
      </c>
      <c r="P420" s="58" t="s">
        <v>39</v>
      </c>
      <c r="Q420" s="171" t="s">
        <v>1680</v>
      </c>
      <c r="R420" s="182">
        <v>0</v>
      </c>
      <c r="S420" s="178">
        <v>0</v>
      </c>
      <c r="T420" s="178">
        <v>80</v>
      </c>
      <c r="U420" s="183">
        <v>20</v>
      </c>
      <c r="V420" s="59"/>
      <c r="W420" s="60"/>
      <c r="X420" s="60"/>
      <c r="Y420" s="60"/>
      <c r="Z420" s="60"/>
      <c r="AA420" s="61"/>
      <c r="AB420" s="62">
        <v>5670000000</v>
      </c>
      <c r="AC420" s="60"/>
      <c r="AD420" s="60"/>
      <c r="AE420" s="60"/>
      <c r="AF420" s="60"/>
      <c r="AG420" s="60"/>
      <c r="AH420" s="63"/>
      <c r="AI420" s="62">
        <v>3724000000</v>
      </c>
      <c r="AJ420" s="60"/>
      <c r="AK420" s="60"/>
      <c r="AL420" s="60"/>
      <c r="AM420" s="60"/>
      <c r="AN420" s="60"/>
      <c r="AO420" s="63"/>
      <c r="AP420" s="85"/>
      <c r="AQ420" s="60"/>
      <c r="AR420" s="60"/>
      <c r="AS420" s="60"/>
      <c r="AT420" s="60"/>
      <c r="AU420" s="60"/>
      <c r="AV420" s="64"/>
      <c r="AW420" s="55">
        <f t="shared" si="33"/>
        <v>0</v>
      </c>
      <c r="AX420" s="55">
        <f t="shared" si="34"/>
        <v>5670000000</v>
      </c>
      <c r="AY420" s="55">
        <f t="shared" si="35"/>
        <v>3724000000</v>
      </c>
      <c r="AZ420" s="55">
        <f t="shared" si="36"/>
        <v>0</v>
      </c>
      <c r="BA420" s="55">
        <f t="shared" si="37"/>
        <v>9394000000</v>
      </c>
      <c r="BB420" s="32"/>
      <c r="BC420" s="32"/>
      <c r="BD420" s="32"/>
      <c r="BE420" s="32"/>
      <c r="BF420" s="32"/>
      <c r="BG420" s="32"/>
      <c r="BH420" s="32"/>
      <c r="BI420" s="32"/>
      <c r="BJ420" s="32"/>
      <c r="BK420" s="32"/>
      <c r="BL420" s="32"/>
      <c r="BM420" s="32"/>
      <c r="BN420" s="32"/>
      <c r="BO420" s="32"/>
      <c r="BP420" s="32"/>
      <c r="BQ420" s="32"/>
      <c r="BR420" s="32"/>
      <c r="BS420" s="32"/>
      <c r="BT420" s="32"/>
      <c r="BU420" s="32"/>
      <c r="BV420" s="32"/>
      <c r="BW420" s="32"/>
      <c r="BX420" s="32"/>
      <c r="BY420" s="32"/>
      <c r="BZ420" s="32"/>
      <c r="CA420" s="32"/>
      <c r="CB420" s="32"/>
      <c r="CC420" s="32"/>
      <c r="CD420" s="32"/>
      <c r="CE420" s="32"/>
      <c r="CF420" s="32"/>
      <c r="CG420" s="32"/>
      <c r="CH420" s="32"/>
      <c r="CI420" s="32"/>
      <c r="CJ420" s="32"/>
      <c r="CK420" s="32"/>
      <c r="CL420" s="32"/>
      <c r="CM420" s="32"/>
      <c r="CN420" s="32"/>
      <c r="CO420" s="32"/>
      <c r="CP420" s="32"/>
      <c r="CQ420" s="32"/>
      <c r="CR420" s="32"/>
      <c r="CS420" s="32"/>
      <c r="CT420" s="32"/>
      <c r="CU420" s="32"/>
      <c r="CV420" s="32"/>
      <c r="CW420" s="32"/>
      <c r="CX420" s="32"/>
      <c r="CY420" s="32"/>
      <c r="CZ420" s="32"/>
      <c r="DA420" s="32"/>
      <c r="DB420" s="32"/>
      <c r="DC420" s="32"/>
      <c r="DD420" s="32"/>
      <c r="DE420" s="32"/>
      <c r="DF420" s="32"/>
      <c r="DG420" s="32"/>
      <c r="DH420" s="32"/>
      <c r="DI420" s="32"/>
      <c r="DJ420" s="32"/>
      <c r="DK420" s="32"/>
      <c r="DL420" s="32"/>
      <c r="DM420" s="32"/>
      <c r="DN420" s="32"/>
      <c r="DO420" s="32"/>
      <c r="DP420" s="32"/>
      <c r="DQ420" s="32"/>
      <c r="DR420" s="32"/>
      <c r="DS420" s="32"/>
      <c r="DT420" s="32"/>
      <c r="DU420" s="32"/>
      <c r="DV420" s="32"/>
      <c r="DW420" s="32"/>
      <c r="DX420" s="32"/>
      <c r="DY420" s="32"/>
      <c r="DZ420" s="32"/>
      <c r="EA420" s="32"/>
      <c r="EB420" s="32"/>
      <c r="EC420" s="32"/>
    </row>
    <row r="421" spans="1:133" s="13" customFormat="1" ht="110.25" x14ac:dyDescent="0.25">
      <c r="A421" s="130" t="s">
        <v>533</v>
      </c>
      <c r="B421" s="132" t="s">
        <v>827</v>
      </c>
      <c r="C421" s="118" t="s">
        <v>828</v>
      </c>
      <c r="D421" s="110" t="s">
        <v>829</v>
      </c>
      <c r="E421" s="136">
        <v>0.61</v>
      </c>
      <c r="F421" s="136">
        <v>0.7</v>
      </c>
      <c r="G421" s="139" t="s">
        <v>836</v>
      </c>
      <c r="H421" s="139" t="s">
        <v>1551</v>
      </c>
      <c r="I421" s="103" t="s">
        <v>842</v>
      </c>
      <c r="J421" s="103" t="s">
        <v>1682</v>
      </c>
      <c r="K421" s="56" t="s">
        <v>41</v>
      </c>
      <c r="L421" s="179">
        <v>100</v>
      </c>
      <c r="M421" s="103" t="s">
        <v>838</v>
      </c>
      <c r="N421" s="56" t="s">
        <v>143</v>
      </c>
      <c r="O421" s="54" t="s">
        <v>832</v>
      </c>
      <c r="P421" s="58" t="s">
        <v>42</v>
      </c>
      <c r="Q421" s="54" t="s">
        <v>1679</v>
      </c>
      <c r="R421" s="182">
        <v>100</v>
      </c>
      <c r="S421" s="178">
        <v>100</v>
      </c>
      <c r="T421" s="178">
        <v>100</v>
      </c>
      <c r="U421" s="183">
        <v>100</v>
      </c>
      <c r="V421" s="59">
        <v>4450000000</v>
      </c>
      <c r="W421" s="60"/>
      <c r="X421" s="60"/>
      <c r="Y421" s="60"/>
      <c r="Z421" s="60"/>
      <c r="AA421" s="61"/>
      <c r="AB421" s="62">
        <v>4250000000</v>
      </c>
      <c r="AC421" s="60"/>
      <c r="AD421" s="60"/>
      <c r="AE421" s="60"/>
      <c r="AF421" s="60"/>
      <c r="AG421" s="60"/>
      <c r="AH421" s="63"/>
      <c r="AI421" s="62">
        <v>2250000000</v>
      </c>
      <c r="AJ421" s="60"/>
      <c r="AK421" s="60"/>
      <c r="AL421" s="60"/>
      <c r="AM421" s="60"/>
      <c r="AN421" s="60"/>
      <c r="AO421" s="63"/>
      <c r="AP421" s="62">
        <v>2800000000</v>
      </c>
      <c r="AQ421" s="60"/>
      <c r="AR421" s="60"/>
      <c r="AS421" s="60"/>
      <c r="AT421" s="60"/>
      <c r="AU421" s="60"/>
      <c r="AV421" s="64"/>
      <c r="AW421" s="55">
        <f t="shared" si="33"/>
        <v>4450000000</v>
      </c>
      <c r="AX421" s="55">
        <f t="shared" si="34"/>
        <v>4250000000</v>
      </c>
      <c r="AY421" s="55">
        <f t="shared" si="35"/>
        <v>2250000000</v>
      </c>
      <c r="AZ421" s="55">
        <f t="shared" si="36"/>
        <v>2800000000</v>
      </c>
      <c r="BA421" s="55">
        <f t="shared" si="37"/>
        <v>13750000000</v>
      </c>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c r="CP421" s="4"/>
      <c r="CQ421" s="4"/>
      <c r="CR421" s="4"/>
      <c r="CS421" s="4"/>
      <c r="CT421" s="4"/>
      <c r="CU421" s="4"/>
      <c r="CV421" s="4"/>
      <c r="CW421" s="4"/>
      <c r="CX421" s="4"/>
      <c r="CY421" s="4"/>
      <c r="CZ421" s="4"/>
      <c r="DA421" s="4"/>
      <c r="DB421" s="4"/>
      <c r="DC421" s="4"/>
      <c r="DD421" s="4"/>
      <c r="DE421" s="4"/>
      <c r="DF421" s="4"/>
      <c r="DG421" s="4"/>
      <c r="DH421" s="4"/>
      <c r="DI421" s="4"/>
      <c r="DJ421" s="4"/>
      <c r="DK421" s="4"/>
      <c r="DL421" s="4"/>
      <c r="DM421" s="4"/>
      <c r="DN421" s="4"/>
      <c r="DO421" s="4"/>
      <c r="DP421" s="4"/>
      <c r="DQ421" s="4"/>
      <c r="DR421" s="4"/>
      <c r="DS421" s="4"/>
      <c r="DT421" s="4"/>
      <c r="DU421" s="4"/>
      <c r="DV421" s="4"/>
      <c r="DW421" s="4"/>
      <c r="DX421" s="4"/>
      <c r="DY421" s="4"/>
      <c r="DZ421" s="4"/>
      <c r="EA421" s="4"/>
      <c r="EB421" s="4"/>
      <c r="EC421" s="4"/>
    </row>
    <row r="422" spans="1:133" s="13" customFormat="1" ht="78.75" x14ac:dyDescent="0.25">
      <c r="A422" s="130" t="s">
        <v>533</v>
      </c>
      <c r="B422" s="132" t="s">
        <v>827</v>
      </c>
      <c r="C422" s="118" t="s">
        <v>828</v>
      </c>
      <c r="D422" s="110" t="s">
        <v>829</v>
      </c>
      <c r="E422" s="136">
        <v>0.61</v>
      </c>
      <c r="F422" s="136">
        <v>0.7</v>
      </c>
      <c r="G422" s="104" t="s">
        <v>843</v>
      </c>
      <c r="H422" s="104" t="s">
        <v>1552</v>
      </c>
      <c r="I422" s="103" t="s">
        <v>844</v>
      </c>
      <c r="J422" s="103" t="s">
        <v>1682</v>
      </c>
      <c r="K422" s="178">
        <v>0</v>
      </c>
      <c r="L422" s="179">
        <v>100</v>
      </c>
      <c r="M422" s="103" t="s">
        <v>838</v>
      </c>
      <c r="N422" s="56" t="s">
        <v>187</v>
      </c>
      <c r="O422" s="54" t="s">
        <v>832</v>
      </c>
      <c r="P422" s="58" t="s">
        <v>39</v>
      </c>
      <c r="Q422" s="171" t="s">
        <v>1680</v>
      </c>
      <c r="R422" s="182">
        <v>0</v>
      </c>
      <c r="S422" s="178">
        <v>33</v>
      </c>
      <c r="T422" s="178">
        <v>33</v>
      </c>
      <c r="U422" s="183">
        <v>34</v>
      </c>
      <c r="V422" s="59"/>
      <c r="W422" s="60"/>
      <c r="X422" s="60"/>
      <c r="Y422" s="60"/>
      <c r="Z422" s="60"/>
      <c r="AA422" s="61"/>
      <c r="AB422" s="62">
        <v>5466000000</v>
      </c>
      <c r="AC422" s="60"/>
      <c r="AD422" s="60"/>
      <c r="AE422" s="60"/>
      <c r="AF422" s="60"/>
      <c r="AG422" s="60"/>
      <c r="AH422" s="63"/>
      <c r="AI422" s="62">
        <v>4466000000</v>
      </c>
      <c r="AJ422" s="60"/>
      <c r="AK422" s="60"/>
      <c r="AL422" s="60"/>
      <c r="AM422" s="60"/>
      <c r="AN422" s="60"/>
      <c r="AO422" s="63"/>
      <c r="AP422" s="62">
        <v>5466000000</v>
      </c>
      <c r="AQ422" s="60"/>
      <c r="AR422" s="60"/>
      <c r="AS422" s="60"/>
      <c r="AT422" s="60"/>
      <c r="AU422" s="60"/>
      <c r="AV422" s="64"/>
      <c r="AW422" s="55">
        <f t="shared" si="33"/>
        <v>0</v>
      </c>
      <c r="AX422" s="55">
        <f t="shared" si="34"/>
        <v>5466000000</v>
      </c>
      <c r="AY422" s="55">
        <f t="shared" si="35"/>
        <v>4466000000</v>
      </c>
      <c r="AZ422" s="55">
        <f t="shared" si="36"/>
        <v>5466000000</v>
      </c>
      <c r="BA422" s="55">
        <f t="shared" si="37"/>
        <v>15398000000</v>
      </c>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row>
    <row r="423" spans="1:133" s="13" customFormat="1" ht="78.75" x14ac:dyDescent="0.25">
      <c r="A423" s="130" t="s">
        <v>533</v>
      </c>
      <c r="B423" s="132" t="s">
        <v>827</v>
      </c>
      <c r="C423" s="118" t="s">
        <v>828</v>
      </c>
      <c r="D423" s="110" t="s">
        <v>829</v>
      </c>
      <c r="E423" s="136">
        <v>0.61</v>
      </c>
      <c r="F423" s="136">
        <v>0.7</v>
      </c>
      <c r="G423" s="122" t="s">
        <v>845</v>
      </c>
      <c r="H423" s="122" t="s">
        <v>1553</v>
      </c>
      <c r="I423" s="103" t="s">
        <v>846</v>
      </c>
      <c r="J423" s="103" t="s">
        <v>1682</v>
      </c>
      <c r="K423" s="178">
        <v>0</v>
      </c>
      <c r="L423" s="179">
        <v>100</v>
      </c>
      <c r="M423" s="103" t="s">
        <v>220</v>
      </c>
      <c r="N423" s="56" t="s">
        <v>187</v>
      </c>
      <c r="O423" s="54" t="s">
        <v>832</v>
      </c>
      <c r="P423" s="58" t="s">
        <v>39</v>
      </c>
      <c r="Q423" s="171" t="s">
        <v>1680</v>
      </c>
      <c r="R423" s="182">
        <v>0</v>
      </c>
      <c r="S423" s="178">
        <v>20</v>
      </c>
      <c r="T423" s="178">
        <v>30</v>
      </c>
      <c r="U423" s="183">
        <v>50</v>
      </c>
      <c r="V423" s="59"/>
      <c r="W423" s="60"/>
      <c r="X423" s="60"/>
      <c r="Y423" s="60"/>
      <c r="Z423" s="60"/>
      <c r="AA423" s="61"/>
      <c r="AB423" s="62">
        <v>50000000</v>
      </c>
      <c r="AC423" s="60"/>
      <c r="AD423" s="60"/>
      <c r="AE423" s="60"/>
      <c r="AF423" s="60"/>
      <c r="AG423" s="60"/>
      <c r="AH423" s="63"/>
      <c r="AI423" s="62">
        <v>50000000</v>
      </c>
      <c r="AJ423" s="60"/>
      <c r="AK423" s="60"/>
      <c r="AL423" s="60"/>
      <c r="AM423" s="60"/>
      <c r="AN423" s="60"/>
      <c r="AO423" s="63"/>
      <c r="AP423" s="62">
        <v>50000000</v>
      </c>
      <c r="AQ423" s="60"/>
      <c r="AR423" s="60"/>
      <c r="AS423" s="60"/>
      <c r="AT423" s="60"/>
      <c r="AU423" s="60"/>
      <c r="AV423" s="64"/>
      <c r="AW423" s="55">
        <f t="shared" si="33"/>
        <v>0</v>
      </c>
      <c r="AX423" s="55">
        <f t="shared" si="34"/>
        <v>50000000</v>
      </c>
      <c r="AY423" s="55">
        <f t="shared" si="35"/>
        <v>50000000</v>
      </c>
      <c r="AZ423" s="55">
        <f t="shared" si="36"/>
        <v>50000000</v>
      </c>
      <c r="BA423" s="55">
        <f t="shared" si="37"/>
        <v>150000000</v>
      </c>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c r="CP423" s="4"/>
      <c r="CQ423" s="4"/>
      <c r="CR423" s="4"/>
      <c r="CS423" s="4"/>
      <c r="CT423" s="4"/>
      <c r="CU423" s="4"/>
      <c r="CV423" s="4"/>
      <c r="CW423" s="4"/>
      <c r="CX423" s="4"/>
      <c r="CY423" s="4"/>
      <c r="CZ423" s="4"/>
      <c r="DA423" s="4"/>
      <c r="DB423" s="4"/>
      <c r="DC423" s="4"/>
      <c r="DD423" s="4"/>
      <c r="DE423" s="4"/>
      <c r="DF423" s="4"/>
      <c r="DG423" s="4"/>
      <c r="DH423" s="4"/>
      <c r="DI423" s="4"/>
      <c r="DJ423" s="4"/>
      <c r="DK423" s="4"/>
      <c r="DL423" s="4"/>
      <c r="DM423" s="4"/>
      <c r="DN423" s="4"/>
      <c r="DO423" s="4"/>
      <c r="DP423" s="4"/>
      <c r="DQ423" s="4"/>
      <c r="DR423" s="4"/>
      <c r="DS423" s="4"/>
      <c r="DT423" s="4"/>
      <c r="DU423" s="4"/>
      <c r="DV423" s="4"/>
      <c r="DW423" s="4"/>
      <c r="DX423" s="4"/>
      <c r="DY423" s="4"/>
      <c r="DZ423" s="4"/>
      <c r="EA423" s="4"/>
      <c r="EB423" s="4"/>
      <c r="EC423" s="4"/>
    </row>
    <row r="424" spans="1:133" s="13" customFormat="1" ht="78.75" x14ac:dyDescent="0.25">
      <c r="A424" s="130" t="s">
        <v>533</v>
      </c>
      <c r="B424" s="132" t="s">
        <v>827</v>
      </c>
      <c r="C424" s="118" t="s">
        <v>828</v>
      </c>
      <c r="D424" s="110" t="s">
        <v>829</v>
      </c>
      <c r="E424" s="136">
        <v>0.61</v>
      </c>
      <c r="F424" s="136">
        <v>0.7</v>
      </c>
      <c r="G424" s="122" t="s">
        <v>845</v>
      </c>
      <c r="H424" s="122" t="s">
        <v>1554</v>
      </c>
      <c r="I424" s="103" t="s">
        <v>847</v>
      </c>
      <c r="J424" s="103" t="s">
        <v>1682</v>
      </c>
      <c r="K424" s="178">
        <v>0</v>
      </c>
      <c r="L424" s="179">
        <v>100</v>
      </c>
      <c r="M424" s="103" t="s">
        <v>220</v>
      </c>
      <c r="N424" s="56" t="s">
        <v>187</v>
      </c>
      <c r="O424" s="54" t="s">
        <v>832</v>
      </c>
      <c r="P424" s="58" t="s">
        <v>39</v>
      </c>
      <c r="Q424" s="171" t="s">
        <v>1680</v>
      </c>
      <c r="R424" s="182">
        <v>0</v>
      </c>
      <c r="S424" s="178">
        <v>20</v>
      </c>
      <c r="T424" s="178">
        <v>30</v>
      </c>
      <c r="U424" s="183">
        <v>50</v>
      </c>
      <c r="V424" s="59"/>
      <c r="W424" s="60"/>
      <c r="X424" s="60"/>
      <c r="Y424" s="60"/>
      <c r="Z424" s="60"/>
      <c r="AA424" s="61"/>
      <c r="AB424" s="62">
        <v>50000000</v>
      </c>
      <c r="AC424" s="60"/>
      <c r="AD424" s="60"/>
      <c r="AE424" s="60"/>
      <c r="AF424" s="60"/>
      <c r="AG424" s="60"/>
      <c r="AH424" s="63"/>
      <c r="AI424" s="62">
        <v>50000000</v>
      </c>
      <c r="AJ424" s="60"/>
      <c r="AK424" s="60"/>
      <c r="AL424" s="60"/>
      <c r="AM424" s="60"/>
      <c r="AN424" s="60"/>
      <c r="AO424" s="63"/>
      <c r="AP424" s="62">
        <v>50000000</v>
      </c>
      <c r="AQ424" s="60"/>
      <c r="AR424" s="60"/>
      <c r="AS424" s="60"/>
      <c r="AT424" s="60"/>
      <c r="AU424" s="60"/>
      <c r="AV424" s="64"/>
      <c r="AW424" s="55">
        <f t="shared" si="33"/>
        <v>0</v>
      </c>
      <c r="AX424" s="55">
        <f t="shared" si="34"/>
        <v>50000000</v>
      </c>
      <c r="AY424" s="55">
        <f t="shared" si="35"/>
        <v>50000000</v>
      </c>
      <c r="AZ424" s="55">
        <f t="shared" si="36"/>
        <v>50000000</v>
      </c>
      <c r="BA424" s="55">
        <f t="shared" si="37"/>
        <v>150000000</v>
      </c>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row>
    <row r="425" spans="1:133" s="13" customFormat="1" ht="63" x14ac:dyDescent="0.25">
      <c r="A425" s="130" t="s">
        <v>533</v>
      </c>
      <c r="B425" s="132" t="s">
        <v>827</v>
      </c>
      <c r="C425" s="118" t="s">
        <v>828</v>
      </c>
      <c r="D425" s="110" t="s">
        <v>829</v>
      </c>
      <c r="E425" s="136">
        <v>0.61</v>
      </c>
      <c r="F425" s="136">
        <v>0.7</v>
      </c>
      <c r="G425" s="122" t="s">
        <v>848</v>
      </c>
      <c r="H425" s="122" t="s">
        <v>1555</v>
      </c>
      <c r="I425" s="103" t="s">
        <v>849</v>
      </c>
      <c r="J425" s="103" t="s">
        <v>1683</v>
      </c>
      <c r="K425" s="56">
        <v>0</v>
      </c>
      <c r="L425" s="86">
        <v>4</v>
      </c>
      <c r="M425" s="103" t="s">
        <v>220</v>
      </c>
      <c r="N425" s="56" t="s">
        <v>187</v>
      </c>
      <c r="O425" s="54" t="s">
        <v>832</v>
      </c>
      <c r="P425" s="58" t="s">
        <v>39</v>
      </c>
      <c r="Q425" s="171" t="s">
        <v>1680</v>
      </c>
      <c r="R425" s="182">
        <v>0</v>
      </c>
      <c r="S425" s="178">
        <v>1</v>
      </c>
      <c r="T425" s="178">
        <v>2</v>
      </c>
      <c r="U425" s="183">
        <v>1</v>
      </c>
      <c r="V425" s="59"/>
      <c r="W425" s="60"/>
      <c r="X425" s="60"/>
      <c r="Y425" s="60"/>
      <c r="Z425" s="60"/>
      <c r="AA425" s="61"/>
      <c r="AB425" s="62">
        <v>4725000000</v>
      </c>
      <c r="AC425" s="60"/>
      <c r="AD425" s="60"/>
      <c r="AE425" s="60"/>
      <c r="AF425" s="60"/>
      <c r="AG425" s="60"/>
      <c r="AH425" s="63"/>
      <c r="AI425" s="62">
        <f>9923000000/2</f>
        <v>4961500000</v>
      </c>
      <c r="AJ425" s="60"/>
      <c r="AK425" s="60"/>
      <c r="AL425" s="60"/>
      <c r="AM425" s="60"/>
      <c r="AN425" s="60"/>
      <c r="AO425" s="63"/>
      <c r="AP425" s="62">
        <f>8149000000/2</f>
        <v>4074500000</v>
      </c>
      <c r="AQ425" s="60"/>
      <c r="AR425" s="60"/>
      <c r="AS425" s="60"/>
      <c r="AT425" s="60"/>
      <c r="AU425" s="60"/>
      <c r="AV425" s="64"/>
      <c r="AW425" s="55">
        <f t="shared" si="33"/>
        <v>0</v>
      </c>
      <c r="AX425" s="55">
        <f t="shared" si="34"/>
        <v>4725000000</v>
      </c>
      <c r="AY425" s="55">
        <f t="shared" si="35"/>
        <v>4961500000</v>
      </c>
      <c r="AZ425" s="55">
        <f t="shared" si="36"/>
        <v>4074500000</v>
      </c>
      <c r="BA425" s="55">
        <f t="shared" si="37"/>
        <v>13761000000</v>
      </c>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c r="CP425" s="4"/>
      <c r="CQ425" s="4"/>
      <c r="CR425" s="4"/>
      <c r="CS425" s="4"/>
      <c r="CT425" s="4"/>
      <c r="CU425" s="4"/>
      <c r="CV425" s="4"/>
      <c r="CW425" s="4"/>
      <c r="CX425" s="4"/>
      <c r="CY425" s="4"/>
      <c r="CZ425" s="4"/>
      <c r="DA425" s="4"/>
      <c r="DB425" s="4"/>
      <c r="DC425" s="4"/>
      <c r="DD425" s="4"/>
      <c r="DE425" s="4"/>
      <c r="DF425" s="4"/>
      <c r="DG425" s="4"/>
      <c r="DH425" s="4"/>
      <c r="DI425" s="4"/>
      <c r="DJ425" s="4"/>
      <c r="DK425" s="4"/>
      <c r="DL425" s="4"/>
      <c r="DM425" s="4"/>
      <c r="DN425" s="4"/>
      <c r="DO425" s="4"/>
      <c r="DP425" s="4"/>
      <c r="DQ425" s="4"/>
      <c r="DR425" s="4"/>
      <c r="DS425" s="4"/>
      <c r="DT425" s="4"/>
      <c r="DU425" s="4"/>
      <c r="DV425" s="4"/>
      <c r="DW425" s="4"/>
      <c r="DX425" s="4"/>
      <c r="DY425" s="4"/>
      <c r="DZ425" s="4"/>
      <c r="EA425" s="4"/>
      <c r="EB425" s="4"/>
      <c r="EC425" s="4"/>
    </row>
    <row r="426" spans="1:133" s="13" customFormat="1" ht="63" x14ac:dyDescent="0.25">
      <c r="A426" s="130" t="s">
        <v>533</v>
      </c>
      <c r="B426" s="132" t="s">
        <v>827</v>
      </c>
      <c r="C426" s="118" t="s">
        <v>828</v>
      </c>
      <c r="D426" s="110" t="s">
        <v>829</v>
      </c>
      <c r="E426" s="136">
        <v>0.61</v>
      </c>
      <c r="F426" s="136">
        <v>0.7</v>
      </c>
      <c r="G426" s="122" t="s">
        <v>848</v>
      </c>
      <c r="H426" s="122" t="s">
        <v>1556</v>
      </c>
      <c r="I426" s="103" t="s">
        <v>850</v>
      </c>
      <c r="J426" s="103" t="s">
        <v>1687</v>
      </c>
      <c r="K426" s="56">
        <v>52200</v>
      </c>
      <c r="L426" s="86">
        <v>40000</v>
      </c>
      <c r="M426" s="103" t="s">
        <v>220</v>
      </c>
      <c r="N426" s="56" t="s">
        <v>187</v>
      </c>
      <c r="O426" s="54" t="s">
        <v>832</v>
      </c>
      <c r="P426" s="58" t="s">
        <v>39</v>
      </c>
      <c r="Q426" s="171" t="s">
        <v>1680</v>
      </c>
      <c r="R426" s="182">
        <v>0</v>
      </c>
      <c r="S426" s="178">
        <v>15000</v>
      </c>
      <c r="T426" s="178">
        <v>15000</v>
      </c>
      <c r="U426" s="183">
        <v>10000</v>
      </c>
      <c r="V426" s="59"/>
      <c r="W426" s="60"/>
      <c r="X426" s="60"/>
      <c r="Y426" s="60"/>
      <c r="Z426" s="60"/>
      <c r="AA426" s="61"/>
      <c r="AB426" s="62">
        <v>4725000000</v>
      </c>
      <c r="AC426" s="60"/>
      <c r="AD426" s="60"/>
      <c r="AE426" s="60"/>
      <c r="AF426" s="60"/>
      <c r="AG426" s="60"/>
      <c r="AH426" s="63"/>
      <c r="AI426" s="62">
        <f>9923000000/2</f>
        <v>4961500000</v>
      </c>
      <c r="AJ426" s="60"/>
      <c r="AK426" s="60"/>
      <c r="AL426" s="60"/>
      <c r="AM426" s="60"/>
      <c r="AN426" s="60"/>
      <c r="AO426" s="63"/>
      <c r="AP426" s="62">
        <f>8149000000/2</f>
        <v>4074500000</v>
      </c>
      <c r="AQ426" s="60"/>
      <c r="AR426" s="60"/>
      <c r="AS426" s="60"/>
      <c r="AT426" s="60"/>
      <c r="AU426" s="60"/>
      <c r="AV426" s="64"/>
      <c r="AW426" s="55">
        <f t="shared" si="33"/>
        <v>0</v>
      </c>
      <c r="AX426" s="55">
        <f t="shared" si="34"/>
        <v>4725000000</v>
      </c>
      <c r="AY426" s="55">
        <f t="shared" si="35"/>
        <v>4961500000</v>
      </c>
      <c r="AZ426" s="55">
        <f t="shared" si="36"/>
        <v>4074500000</v>
      </c>
      <c r="BA426" s="55">
        <f t="shared" si="37"/>
        <v>13761000000</v>
      </c>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c r="CP426" s="4"/>
      <c r="CQ426" s="4"/>
      <c r="CR426" s="4"/>
      <c r="CS426" s="4"/>
      <c r="CT426" s="4"/>
      <c r="CU426" s="4"/>
      <c r="CV426" s="4"/>
      <c r="CW426" s="4"/>
      <c r="CX426" s="4"/>
      <c r="CY426" s="4"/>
      <c r="CZ426" s="4"/>
      <c r="DA426" s="4"/>
      <c r="DB426" s="4"/>
      <c r="DC426" s="4"/>
      <c r="DD426" s="4"/>
      <c r="DE426" s="4"/>
      <c r="DF426" s="4"/>
      <c r="DG426" s="4"/>
      <c r="DH426" s="4"/>
      <c r="DI426" s="4"/>
      <c r="DJ426" s="4"/>
      <c r="DK426" s="4"/>
      <c r="DL426" s="4"/>
      <c r="DM426" s="4"/>
      <c r="DN426" s="4"/>
      <c r="DO426" s="4"/>
      <c r="DP426" s="4"/>
      <c r="DQ426" s="4"/>
      <c r="DR426" s="4"/>
      <c r="DS426" s="4"/>
      <c r="DT426" s="4"/>
      <c r="DU426" s="4"/>
      <c r="DV426" s="4"/>
      <c r="DW426" s="4"/>
      <c r="DX426" s="4"/>
      <c r="DY426" s="4"/>
      <c r="DZ426" s="4"/>
      <c r="EA426" s="4"/>
      <c r="EB426" s="4"/>
      <c r="EC426" s="4"/>
    </row>
    <row r="427" spans="1:133" s="13" customFormat="1" ht="63" x14ac:dyDescent="0.25">
      <c r="A427" s="130" t="s">
        <v>533</v>
      </c>
      <c r="B427" s="132" t="s">
        <v>827</v>
      </c>
      <c r="C427" s="118" t="s">
        <v>828</v>
      </c>
      <c r="D427" s="110" t="s">
        <v>829</v>
      </c>
      <c r="E427" s="136">
        <v>0.61</v>
      </c>
      <c r="F427" s="136">
        <v>0.7</v>
      </c>
      <c r="G427" s="104" t="s">
        <v>851</v>
      </c>
      <c r="H427" s="104" t="s">
        <v>1557</v>
      </c>
      <c r="I427" s="103" t="s">
        <v>852</v>
      </c>
      <c r="J427" s="103" t="s">
        <v>1684</v>
      </c>
      <c r="K427" s="56">
        <v>2.2000000000000002</v>
      </c>
      <c r="L427" s="86">
        <v>2.8</v>
      </c>
      <c r="M427" s="103" t="s">
        <v>835</v>
      </c>
      <c r="N427" s="56" t="s">
        <v>187</v>
      </c>
      <c r="O427" s="54" t="s">
        <v>832</v>
      </c>
      <c r="P427" s="58" t="s">
        <v>39</v>
      </c>
      <c r="Q427" s="171" t="s">
        <v>1680</v>
      </c>
      <c r="R427" s="182">
        <v>0.4</v>
      </c>
      <c r="S427" s="178">
        <v>0.4</v>
      </c>
      <c r="T427" s="178">
        <v>1</v>
      </c>
      <c r="U427" s="183">
        <v>1</v>
      </c>
      <c r="V427" s="59">
        <v>23696828495</v>
      </c>
      <c r="W427" s="60"/>
      <c r="X427" s="60"/>
      <c r="Y427" s="60"/>
      <c r="Z427" s="60"/>
      <c r="AA427" s="61"/>
      <c r="AB427" s="62">
        <v>9811178455.9200001</v>
      </c>
      <c r="AC427" s="60"/>
      <c r="AD427" s="60"/>
      <c r="AE427" s="60"/>
      <c r="AF427" s="60">
        <v>15214020034.08</v>
      </c>
      <c r="AG427" s="60"/>
      <c r="AH427" s="63"/>
      <c r="AI427" s="62">
        <v>9926071744.5599995</v>
      </c>
      <c r="AJ427" s="60"/>
      <c r="AK427" s="60"/>
      <c r="AL427" s="60"/>
      <c r="AM427" s="60">
        <v>4426351353.4399996</v>
      </c>
      <c r="AN427" s="60"/>
      <c r="AO427" s="63"/>
      <c r="AP427" s="62">
        <v>16679647707</v>
      </c>
      <c r="AQ427" s="60"/>
      <c r="AR427" s="60"/>
      <c r="AS427" s="60"/>
      <c r="AT427" s="60"/>
      <c r="AU427" s="60"/>
      <c r="AV427" s="64"/>
      <c r="AW427" s="55">
        <f t="shared" si="33"/>
        <v>23696828495</v>
      </c>
      <c r="AX427" s="55">
        <f t="shared" si="34"/>
        <v>25025198490</v>
      </c>
      <c r="AY427" s="55">
        <f t="shared" si="35"/>
        <v>14352423098</v>
      </c>
      <c r="AZ427" s="55">
        <f t="shared" si="36"/>
        <v>16679647707</v>
      </c>
      <c r="BA427" s="55">
        <f t="shared" si="37"/>
        <v>79754097790</v>
      </c>
      <c r="BB427" s="32"/>
      <c r="BC427" s="32"/>
      <c r="BD427" s="32"/>
      <c r="BE427" s="32"/>
      <c r="BF427" s="32"/>
      <c r="BG427" s="32"/>
      <c r="BH427" s="32"/>
      <c r="BI427" s="32"/>
      <c r="BJ427" s="32"/>
      <c r="BK427" s="32"/>
      <c r="BL427" s="32"/>
      <c r="BM427" s="32"/>
      <c r="BN427" s="32"/>
      <c r="BO427" s="32"/>
      <c r="BP427" s="32"/>
      <c r="BQ427" s="32"/>
      <c r="BR427" s="32"/>
      <c r="BS427" s="32"/>
      <c r="BT427" s="32"/>
      <c r="BU427" s="32"/>
      <c r="BV427" s="32"/>
      <c r="BW427" s="32"/>
      <c r="BX427" s="32"/>
      <c r="BY427" s="32"/>
      <c r="BZ427" s="32"/>
      <c r="CA427" s="32"/>
      <c r="CB427" s="32"/>
      <c r="CC427" s="32"/>
      <c r="CD427" s="32"/>
      <c r="CE427" s="32"/>
      <c r="CF427" s="32"/>
      <c r="CG427" s="32"/>
      <c r="CH427" s="32"/>
      <c r="CI427" s="32"/>
      <c r="CJ427" s="32"/>
      <c r="CK427" s="32"/>
      <c r="CL427" s="32"/>
      <c r="CM427" s="32"/>
      <c r="CN427" s="32"/>
      <c r="CO427" s="32"/>
      <c r="CP427" s="32"/>
      <c r="CQ427" s="32"/>
      <c r="CR427" s="32"/>
      <c r="CS427" s="32"/>
      <c r="CT427" s="32"/>
      <c r="CU427" s="32"/>
      <c r="CV427" s="32"/>
      <c r="CW427" s="32"/>
      <c r="CX427" s="32"/>
      <c r="CY427" s="32"/>
      <c r="CZ427" s="32"/>
      <c r="DA427" s="32"/>
      <c r="DB427" s="32"/>
      <c r="DC427" s="32"/>
      <c r="DD427" s="32"/>
      <c r="DE427" s="32"/>
      <c r="DF427" s="32"/>
      <c r="DG427" s="32"/>
      <c r="DH427" s="32"/>
      <c r="DI427" s="32"/>
      <c r="DJ427" s="32"/>
      <c r="DK427" s="32"/>
      <c r="DL427" s="32"/>
      <c r="DM427" s="32"/>
      <c r="DN427" s="32"/>
      <c r="DO427" s="32"/>
      <c r="DP427" s="32"/>
      <c r="DQ427" s="32"/>
      <c r="DR427" s="32"/>
      <c r="DS427" s="32"/>
      <c r="DT427" s="32"/>
      <c r="DU427" s="32"/>
      <c r="DV427" s="32"/>
      <c r="DW427" s="32"/>
      <c r="DX427" s="32"/>
      <c r="DY427" s="32"/>
      <c r="DZ427" s="32"/>
      <c r="EA427" s="32"/>
      <c r="EB427" s="32"/>
      <c r="EC427" s="32"/>
    </row>
    <row r="428" spans="1:133" s="13" customFormat="1" ht="63" x14ac:dyDescent="0.25">
      <c r="A428" s="130" t="s">
        <v>533</v>
      </c>
      <c r="B428" s="132" t="s">
        <v>827</v>
      </c>
      <c r="C428" s="118" t="s">
        <v>828</v>
      </c>
      <c r="D428" s="110" t="s">
        <v>829</v>
      </c>
      <c r="E428" s="136">
        <v>0.61</v>
      </c>
      <c r="F428" s="136">
        <v>0.7</v>
      </c>
      <c r="G428" s="104" t="s">
        <v>853</v>
      </c>
      <c r="H428" s="104" t="s">
        <v>1558</v>
      </c>
      <c r="I428" s="103" t="s">
        <v>854</v>
      </c>
      <c r="J428" s="103" t="s">
        <v>1682</v>
      </c>
      <c r="K428" s="178">
        <v>100</v>
      </c>
      <c r="L428" s="179">
        <v>100</v>
      </c>
      <c r="M428" s="103" t="s">
        <v>220</v>
      </c>
      <c r="N428" s="56" t="s">
        <v>187</v>
      </c>
      <c r="O428" s="54" t="s">
        <v>832</v>
      </c>
      <c r="P428" s="58" t="s">
        <v>42</v>
      </c>
      <c r="Q428" s="54" t="s">
        <v>1679</v>
      </c>
      <c r="R428" s="182">
        <v>100</v>
      </c>
      <c r="S428" s="178">
        <v>100</v>
      </c>
      <c r="T428" s="178">
        <v>100</v>
      </c>
      <c r="U428" s="183">
        <v>100</v>
      </c>
      <c r="V428" s="59">
        <v>19103163482</v>
      </c>
      <c r="W428" s="60"/>
      <c r="X428" s="60"/>
      <c r="Y428" s="60"/>
      <c r="Z428" s="60"/>
      <c r="AA428" s="61"/>
      <c r="AB428" s="62"/>
      <c r="AC428" s="60"/>
      <c r="AD428" s="60"/>
      <c r="AE428" s="60"/>
      <c r="AF428" s="60">
        <v>600000000</v>
      </c>
      <c r="AG428" s="60"/>
      <c r="AH428" s="63"/>
      <c r="AI428" s="62"/>
      <c r="AJ428" s="60"/>
      <c r="AK428" s="60"/>
      <c r="AL428" s="60"/>
      <c r="AM428" s="60">
        <v>630000000</v>
      </c>
      <c r="AN428" s="60"/>
      <c r="AO428" s="63"/>
      <c r="AP428" s="62"/>
      <c r="AQ428" s="60"/>
      <c r="AR428" s="60"/>
      <c r="AS428" s="60"/>
      <c r="AT428" s="60">
        <v>662000000</v>
      </c>
      <c r="AU428" s="60"/>
      <c r="AV428" s="64"/>
      <c r="AW428" s="55">
        <f t="shared" si="33"/>
        <v>19103163482</v>
      </c>
      <c r="AX428" s="55">
        <f t="shared" si="34"/>
        <v>600000000</v>
      </c>
      <c r="AY428" s="55">
        <f t="shared" si="35"/>
        <v>630000000</v>
      </c>
      <c r="AZ428" s="55">
        <f t="shared" si="36"/>
        <v>662000000</v>
      </c>
      <c r="BA428" s="55">
        <f t="shared" si="37"/>
        <v>20995163482</v>
      </c>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c r="CP428" s="4"/>
      <c r="CQ428" s="4"/>
      <c r="CR428" s="4"/>
      <c r="CS428" s="4"/>
      <c r="CT428" s="4"/>
      <c r="CU428" s="4"/>
      <c r="CV428" s="4"/>
      <c r="CW428" s="4"/>
      <c r="CX428" s="4"/>
      <c r="CY428" s="4"/>
      <c r="CZ428" s="4"/>
      <c r="DA428" s="4"/>
      <c r="DB428" s="4"/>
      <c r="DC428" s="4"/>
      <c r="DD428" s="4"/>
      <c r="DE428" s="4"/>
      <c r="DF428" s="4"/>
      <c r="DG428" s="4"/>
      <c r="DH428" s="4"/>
      <c r="DI428" s="4"/>
      <c r="DJ428" s="4"/>
      <c r="DK428" s="4"/>
      <c r="DL428" s="4"/>
      <c r="DM428" s="4"/>
      <c r="DN428" s="4"/>
      <c r="DO428" s="4"/>
      <c r="DP428" s="4"/>
      <c r="DQ428" s="4"/>
      <c r="DR428" s="4"/>
      <c r="DS428" s="4"/>
      <c r="DT428" s="4"/>
      <c r="DU428" s="4"/>
      <c r="DV428" s="4"/>
      <c r="DW428" s="4"/>
      <c r="DX428" s="4"/>
      <c r="DY428" s="4"/>
      <c r="DZ428" s="4"/>
      <c r="EA428" s="4"/>
      <c r="EB428" s="4"/>
      <c r="EC428" s="4"/>
    </row>
    <row r="429" spans="1:133" s="13" customFormat="1" ht="63" x14ac:dyDescent="0.25">
      <c r="A429" s="130" t="s">
        <v>533</v>
      </c>
      <c r="B429" s="132" t="s">
        <v>827</v>
      </c>
      <c r="C429" s="119" t="s">
        <v>855</v>
      </c>
      <c r="D429" s="110" t="s">
        <v>829</v>
      </c>
      <c r="E429" s="136">
        <v>0.61</v>
      </c>
      <c r="F429" s="136">
        <v>0.7</v>
      </c>
      <c r="G429" s="138" t="s">
        <v>856</v>
      </c>
      <c r="H429" s="138" t="s">
        <v>1559</v>
      </c>
      <c r="I429" s="103" t="s">
        <v>857</v>
      </c>
      <c r="J429" s="103" t="s">
        <v>1683</v>
      </c>
      <c r="K429" s="56">
        <v>0</v>
      </c>
      <c r="L429" s="86">
        <v>2</v>
      </c>
      <c r="M429" s="103" t="s">
        <v>1143</v>
      </c>
      <c r="N429" s="56" t="s">
        <v>187</v>
      </c>
      <c r="O429" s="54" t="s">
        <v>832</v>
      </c>
      <c r="P429" s="58" t="s">
        <v>39</v>
      </c>
      <c r="Q429" s="171" t="s">
        <v>1680</v>
      </c>
      <c r="R429" s="182">
        <v>0</v>
      </c>
      <c r="S429" s="178">
        <v>1</v>
      </c>
      <c r="T429" s="178">
        <v>1</v>
      </c>
      <c r="U429" s="183">
        <v>0</v>
      </c>
      <c r="V429" s="59"/>
      <c r="W429" s="60"/>
      <c r="X429" s="60"/>
      <c r="Y429" s="60"/>
      <c r="Z429" s="60"/>
      <c r="AA429" s="61"/>
      <c r="AB429" s="62"/>
      <c r="AC429" s="60"/>
      <c r="AD429" s="60">
        <v>9482000000</v>
      </c>
      <c r="AE429" s="60"/>
      <c r="AF429" s="60"/>
      <c r="AG429" s="60"/>
      <c r="AH429" s="63"/>
      <c r="AI429" s="62"/>
      <c r="AJ429" s="60"/>
      <c r="AK429" s="60">
        <v>8124000000</v>
      </c>
      <c r="AL429" s="60"/>
      <c r="AM429" s="60"/>
      <c r="AN429" s="60"/>
      <c r="AO429" s="63"/>
      <c r="AP429" s="62"/>
      <c r="AQ429" s="60"/>
      <c r="AR429" s="60"/>
      <c r="AS429" s="60"/>
      <c r="AT429" s="60"/>
      <c r="AU429" s="60"/>
      <c r="AV429" s="64"/>
      <c r="AW429" s="55">
        <f t="shared" si="33"/>
        <v>0</v>
      </c>
      <c r="AX429" s="55">
        <f t="shared" si="34"/>
        <v>9482000000</v>
      </c>
      <c r="AY429" s="55">
        <f t="shared" si="35"/>
        <v>8124000000</v>
      </c>
      <c r="AZ429" s="55">
        <f t="shared" si="36"/>
        <v>0</v>
      </c>
      <c r="BA429" s="55">
        <f t="shared" si="37"/>
        <v>17606000000</v>
      </c>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c r="CP429" s="4"/>
      <c r="CQ429" s="4"/>
      <c r="CR429" s="4"/>
      <c r="CS429" s="4"/>
      <c r="CT429" s="4"/>
      <c r="CU429" s="4"/>
      <c r="CV429" s="4"/>
      <c r="CW429" s="4"/>
      <c r="CX429" s="4"/>
      <c r="CY429" s="4"/>
      <c r="CZ429" s="4"/>
      <c r="DA429" s="4"/>
      <c r="DB429" s="4"/>
      <c r="DC429" s="4"/>
      <c r="DD429" s="4"/>
      <c r="DE429" s="4"/>
      <c r="DF429" s="4"/>
      <c r="DG429" s="4"/>
      <c r="DH429" s="4"/>
      <c r="DI429" s="4"/>
      <c r="DJ429" s="4"/>
      <c r="DK429" s="4"/>
      <c r="DL429" s="4"/>
      <c r="DM429" s="4"/>
      <c r="DN429" s="4"/>
      <c r="DO429" s="4"/>
      <c r="DP429" s="4"/>
      <c r="DQ429" s="4"/>
      <c r="DR429" s="4"/>
      <c r="DS429" s="4"/>
      <c r="DT429" s="4"/>
      <c r="DU429" s="4"/>
      <c r="DV429" s="4"/>
      <c r="DW429" s="4"/>
      <c r="DX429" s="4"/>
      <c r="DY429" s="4"/>
      <c r="DZ429" s="4"/>
      <c r="EA429" s="4"/>
      <c r="EB429" s="4"/>
      <c r="EC429" s="4"/>
    </row>
    <row r="430" spans="1:133" s="13" customFormat="1" ht="63" x14ac:dyDescent="0.25">
      <c r="A430" s="130" t="s">
        <v>533</v>
      </c>
      <c r="B430" s="132" t="s">
        <v>827</v>
      </c>
      <c r="C430" s="119" t="s">
        <v>855</v>
      </c>
      <c r="D430" s="110" t="s">
        <v>829</v>
      </c>
      <c r="E430" s="136">
        <v>0.61</v>
      </c>
      <c r="F430" s="136">
        <v>0.7</v>
      </c>
      <c r="G430" s="138" t="s">
        <v>856</v>
      </c>
      <c r="H430" s="138" t="s">
        <v>1560</v>
      </c>
      <c r="I430" s="103" t="s">
        <v>859</v>
      </c>
      <c r="J430" s="103" t="s">
        <v>1683</v>
      </c>
      <c r="K430" s="56">
        <v>0</v>
      </c>
      <c r="L430" s="86">
        <v>500</v>
      </c>
      <c r="M430" s="103" t="s">
        <v>1143</v>
      </c>
      <c r="N430" s="56" t="s">
        <v>187</v>
      </c>
      <c r="O430" s="54" t="s">
        <v>832</v>
      </c>
      <c r="P430" s="58" t="s">
        <v>39</v>
      </c>
      <c r="Q430" s="171" t="s">
        <v>1680</v>
      </c>
      <c r="R430" s="182">
        <v>0</v>
      </c>
      <c r="S430" s="178">
        <v>100</v>
      </c>
      <c r="T430" s="178">
        <v>150</v>
      </c>
      <c r="U430" s="183">
        <v>250</v>
      </c>
      <c r="V430" s="59"/>
      <c r="W430" s="60"/>
      <c r="X430" s="60"/>
      <c r="Y430" s="60"/>
      <c r="Z430" s="60"/>
      <c r="AA430" s="61"/>
      <c r="AB430" s="62"/>
      <c r="AC430" s="60"/>
      <c r="AD430" s="60"/>
      <c r="AE430" s="60"/>
      <c r="AF430" s="60">
        <f>4663000000/2</f>
        <v>2331500000</v>
      </c>
      <c r="AG430" s="60"/>
      <c r="AH430" s="63"/>
      <c r="AI430" s="62"/>
      <c r="AJ430" s="60"/>
      <c r="AK430" s="60"/>
      <c r="AL430" s="60"/>
      <c r="AM430" s="60">
        <v>14006000000</v>
      </c>
      <c r="AN430" s="60"/>
      <c r="AO430" s="63"/>
      <c r="AP430" s="62"/>
      <c r="AQ430" s="60"/>
      <c r="AR430" s="60">
        <v>3692000000</v>
      </c>
      <c r="AS430" s="1"/>
      <c r="AT430" s="60">
        <v>10806500000</v>
      </c>
      <c r="AU430" s="60"/>
      <c r="AV430" s="64"/>
      <c r="AW430" s="55">
        <f t="shared" si="33"/>
        <v>0</v>
      </c>
      <c r="AX430" s="55">
        <f t="shared" si="34"/>
        <v>2331500000</v>
      </c>
      <c r="AY430" s="55">
        <f t="shared" si="35"/>
        <v>14006000000</v>
      </c>
      <c r="AZ430" s="55">
        <f t="shared" si="36"/>
        <v>14498500000</v>
      </c>
      <c r="BA430" s="55">
        <f t="shared" si="37"/>
        <v>30836000000</v>
      </c>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row>
    <row r="431" spans="1:133" s="13" customFormat="1" ht="63" x14ac:dyDescent="0.25">
      <c r="A431" s="130" t="s">
        <v>533</v>
      </c>
      <c r="B431" s="132" t="s">
        <v>827</v>
      </c>
      <c r="C431" s="119" t="s">
        <v>855</v>
      </c>
      <c r="D431" s="110" t="s">
        <v>829</v>
      </c>
      <c r="E431" s="136">
        <v>0.61</v>
      </c>
      <c r="F431" s="136">
        <v>0.7</v>
      </c>
      <c r="G431" s="138" t="s">
        <v>856</v>
      </c>
      <c r="H431" s="138" t="s">
        <v>1561</v>
      </c>
      <c r="I431" s="103" t="s">
        <v>860</v>
      </c>
      <c r="J431" s="103" t="s">
        <v>1683</v>
      </c>
      <c r="K431" s="56">
        <v>0</v>
      </c>
      <c r="L431" s="86">
        <v>1000</v>
      </c>
      <c r="M431" s="103" t="s">
        <v>1143</v>
      </c>
      <c r="N431" s="56" t="s">
        <v>187</v>
      </c>
      <c r="O431" s="54" t="s">
        <v>832</v>
      </c>
      <c r="P431" s="58" t="s">
        <v>39</v>
      </c>
      <c r="Q431" s="171" t="s">
        <v>1680</v>
      </c>
      <c r="R431" s="182">
        <v>0</v>
      </c>
      <c r="S431" s="178">
        <v>200</v>
      </c>
      <c r="T431" s="178">
        <v>300</v>
      </c>
      <c r="U431" s="183">
        <v>500</v>
      </c>
      <c r="V431" s="59"/>
      <c r="W431" s="60"/>
      <c r="X431" s="60"/>
      <c r="Y431" s="60"/>
      <c r="Z431" s="60"/>
      <c r="AA431" s="61"/>
      <c r="AB431" s="62"/>
      <c r="AC431" s="60"/>
      <c r="AD431" s="60"/>
      <c r="AE431" s="60"/>
      <c r="AF431" s="60">
        <f>4663000000/2</f>
        <v>2331500000</v>
      </c>
      <c r="AG431" s="60"/>
      <c r="AH431" s="63"/>
      <c r="AI431" s="62"/>
      <c r="AJ431" s="60"/>
      <c r="AK431" s="60"/>
      <c r="AL431" s="60"/>
      <c r="AM431" s="60">
        <v>14006000000</v>
      </c>
      <c r="AN431" s="60"/>
      <c r="AO431" s="63"/>
      <c r="AP431" s="62"/>
      <c r="AQ431" s="60"/>
      <c r="AR431" s="60"/>
      <c r="AS431" s="60"/>
      <c r="AT431" s="60">
        <v>10806500000</v>
      </c>
      <c r="AU431" s="60"/>
      <c r="AV431" s="64"/>
      <c r="AW431" s="55">
        <f t="shared" si="33"/>
        <v>0</v>
      </c>
      <c r="AX431" s="55">
        <f t="shared" si="34"/>
        <v>2331500000</v>
      </c>
      <c r="AY431" s="55">
        <f t="shared" si="35"/>
        <v>14006000000</v>
      </c>
      <c r="AZ431" s="55">
        <f t="shared" si="36"/>
        <v>10806500000</v>
      </c>
      <c r="BA431" s="55">
        <f t="shared" si="37"/>
        <v>27144000000</v>
      </c>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row>
    <row r="432" spans="1:133" s="13" customFormat="1" ht="78.75" x14ac:dyDescent="0.25">
      <c r="A432" s="130" t="s">
        <v>533</v>
      </c>
      <c r="B432" s="132" t="s">
        <v>827</v>
      </c>
      <c r="C432" s="119" t="s">
        <v>855</v>
      </c>
      <c r="D432" s="110" t="s">
        <v>829</v>
      </c>
      <c r="E432" s="136">
        <v>0.61</v>
      </c>
      <c r="F432" s="136">
        <v>0.7</v>
      </c>
      <c r="G432" s="138" t="s">
        <v>856</v>
      </c>
      <c r="H432" s="138" t="s">
        <v>1562</v>
      </c>
      <c r="I432" s="103" t="s">
        <v>861</v>
      </c>
      <c r="J432" s="103" t="s">
        <v>1682</v>
      </c>
      <c r="K432" s="178">
        <v>0</v>
      </c>
      <c r="L432" s="179">
        <v>100</v>
      </c>
      <c r="M432" s="103" t="s">
        <v>1143</v>
      </c>
      <c r="N432" s="56" t="s">
        <v>187</v>
      </c>
      <c r="O432" s="54" t="s">
        <v>832</v>
      </c>
      <c r="P432" s="58" t="s">
        <v>39</v>
      </c>
      <c r="Q432" s="171" t="s">
        <v>1680</v>
      </c>
      <c r="R432" s="182">
        <v>0</v>
      </c>
      <c r="S432" s="178">
        <v>20</v>
      </c>
      <c r="T432" s="178">
        <v>30</v>
      </c>
      <c r="U432" s="183">
        <v>50</v>
      </c>
      <c r="V432" s="59"/>
      <c r="W432" s="60"/>
      <c r="X432" s="60"/>
      <c r="Y432" s="60"/>
      <c r="Z432" s="60"/>
      <c r="AA432" s="61"/>
      <c r="AB432" s="62"/>
      <c r="AC432" s="60"/>
      <c r="AD432" s="60"/>
      <c r="AE432" s="60"/>
      <c r="AF432" s="60">
        <v>5880500000</v>
      </c>
      <c r="AG432" s="60"/>
      <c r="AH432" s="63"/>
      <c r="AI432" s="62"/>
      <c r="AJ432" s="60"/>
      <c r="AK432" s="60"/>
      <c r="AL432" s="60"/>
      <c r="AM432" s="60">
        <v>13005000000</v>
      </c>
      <c r="AN432" s="60"/>
      <c r="AO432" s="63"/>
      <c r="AP432" s="62"/>
      <c r="AQ432" s="60"/>
      <c r="AR432" s="60"/>
      <c r="AS432" s="60"/>
      <c r="AT432" s="60">
        <v>10921000000</v>
      </c>
      <c r="AU432" s="60"/>
      <c r="AV432" s="64"/>
      <c r="AW432" s="55">
        <f t="shared" si="33"/>
        <v>0</v>
      </c>
      <c r="AX432" s="55">
        <f t="shared" si="34"/>
        <v>5880500000</v>
      </c>
      <c r="AY432" s="55">
        <f t="shared" si="35"/>
        <v>13005000000</v>
      </c>
      <c r="AZ432" s="55">
        <f t="shared" si="36"/>
        <v>10921000000</v>
      </c>
      <c r="BA432" s="55">
        <f t="shared" si="37"/>
        <v>29806500000</v>
      </c>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c r="CP432" s="4"/>
      <c r="CQ432" s="4"/>
      <c r="CR432" s="4"/>
      <c r="CS432" s="4"/>
      <c r="CT432" s="4"/>
      <c r="CU432" s="4"/>
      <c r="CV432" s="4"/>
      <c r="CW432" s="4"/>
      <c r="CX432" s="4"/>
      <c r="CY432" s="4"/>
      <c r="CZ432" s="4"/>
      <c r="DA432" s="4"/>
      <c r="DB432" s="4"/>
      <c r="DC432" s="4"/>
      <c r="DD432" s="4"/>
      <c r="DE432" s="4"/>
      <c r="DF432" s="4"/>
      <c r="DG432" s="4"/>
      <c r="DH432" s="4"/>
      <c r="DI432" s="4"/>
      <c r="DJ432" s="4"/>
      <c r="DK432" s="4"/>
      <c r="DL432" s="4"/>
      <c r="DM432" s="4"/>
      <c r="DN432" s="4"/>
      <c r="DO432" s="4"/>
      <c r="DP432" s="4"/>
      <c r="DQ432" s="4"/>
      <c r="DR432" s="4"/>
      <c r="DS432" s="4"/>
      <c r="DT432" s="4"/>
      <c r="DU432" s="4"/>
      <c r="DV432" s="4"/>
      <c r="DW432" s="4"/>
      <c r="DX432" s="4"/>
      <c r="DY432" s="4"/>
      <c r="DZ432" s="4"/>
      <c r="EA432" s="4"/>
      <c r="EB432" s="4"/>
      <c r="EC432" s="4"/>
    </row>
    <row r="433" spans="1:133" s="13" customFormat="1" ht="63" x14ac:dyDescent="0.25">
      <c r="A433" s="130" t="s">
        <v>533</v>
      </c>
      <c r="B433" s="132" t="s">
        <v>827</v>
      </c>
      <c r="C433" s="119" t="s">
        <v>855</v>
      </c>
      <c r="D433" s="110" t="s">
        <v>829</v>
      </c>
      <c r="E433" s="136">
        <v>0.61</v>
      </c>
      <c r="F433" s="136">
        <v>0.7</v>
      </c>
      <c r="G433" s="138" t="s">
        <v>856</v>
      </c>
      <c r="H433" s="138" t="s">
        <v>1563</v>
      </c>
      <c r="I433" s="103" t="s">
        <v>862</v>
      </c>
      <c r="J433" s="103" t="s">
        <v>1682</v>
      </c>
      <c r="K433" s="178">
        <v>0</v>
      </c>
      <c r="L433" s="179">
        <v>100</v>
      </c>
      <c r="M433" s="103" t="s">
        <v>1143</v>
      </c>
      <c r="N433" s="56" t="s">
        <v>187</v>
      </c>
      <c r="O433" s="54" t="s">
        <v>832</v>
      </c>
      <c r="P433" s="58" t="s">
        <v>39</v>
      </c>
      <c r="Q433" s="171" t="s">
        <v>1680</v>
      </c>
      <c r="R433" s="182">
        <v>0</v>
      </c>
      <c r="S433" s="178">
        <v>20</v>
      </c>
      <c r="T433" s="178">
        <v>30</v>
      </c>
      <c r="U433" s="183">
        <v>50</v>
      </c>
      <c r="V433" s="59"/>
      <c r="W433" s="60"/>
      <c r="X433" s="60"/>
      <c r="Y433" s="60"/>
      <c r="Z433" s="60"/>
      <c r="AA433" s="61"/>
      <c r="AB433" s="62"/>
      <c r="AC433" s="60"/>
      <c r="AD433" s="60"/>
      <c r="AE433" s="60"/>
      <c r="AF433" s="60">
        <v>5880500000</v>
      </c>
      <c r="AG433" s="60"/>
      <c r="AH433" s="63"/>
      <c r="AI433" s="62"/>
      <c r="AJ433" s="60"/>
      <c r="AK433" s="60"/>
      <c r="AL433" s="60"/>
      <c r="AM433" s="60">
        <v>13005000000</v>
      </c>
      <c r="AN433" s="60"/>
      <c r="AO433" s="63"/>
      <c r="AP433" s="62"/>
      <c r="AQ433" s="60"/>
      <c r="AR433" s="60"/>
      <c r="AS433" s="60"/>
      <c r="AT433" s="60">
        <v>10921000000</v>
      </c>
      <c r="AU433" s="60"/>
      <c r="AV433" s="64"/>
      <c r="AW433" s="55">
        <f t="shared" si="33"/>
        <v>0</v>
      </c>
      <c r="AX433" s="55">
        <f t="shared" si="34"/>
        <v>5880500000</v>
      </c>
      <c r="AY433" s="55">
        <f t="shared" si="35"/>
        <v>13005000000</v>
      </c>
      <c r="AZ433" s="55">
        <f t="shared" si="36"/>
        <v>10921000000</v>
      </c>
      <c r="BA433" s="55">
        <f t="shared" si="37"/>
        <v>29806500000</v>
      </c>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c r="CP433" s="4"/>
      <c r="CQ433" s="4"/>
      <c r="CR433" s="4"/>
      <c r="CS433" s="4"/>
      <c r="CT433" s="4"/>
      <c r="CU433" s="4"/>
      <c r="CV433" s="4"/>
      <c r="CW433" s="4"/>
      <c r="CX433" s="4"/>
      <c r="CY433" s="4"/>
      <c r="CZ433" s="4"/>
      <c r="DA433" s="4"/>
      <c r="DB433" s="4"/>
      <c r="DC433" s="4"/>
      <c r="DD433" s="4"/>
      <c r="DE433" s="4"/>
      <c r="DF433" s="4"/>
      <c r="DG433" s="4"/>
      <c r="DH433" s="4"/>
      <c r="DI433" s="4"/>
      <c r="DJ433" s="4"/>
      <c r="DK433" s="4"/>
      <c r="DL433" s="4"/>
      <c r="DM433" s="4"/>
      <c r="DN433" s="4"/>
      <c r="DO433" s="4"/>
      <c r="DP433" s="4"/>
      <c r="DQ433" s="4"/>
      <c r="DR433" s="4"/>
      <c r="DS433" s="4"/>
      <c r="DT433" s="4"/>
      <c r="DU433" s="4"/>
      <c r="DV433" s="4"/>
      <c r="DW433" s="4"/>
      <c r="DX433" s="4"/>
      <c r="DY433" s="4"/>
      <c r="DZ433" s="4"/>
      <c r="EA433" s="4"/>
      <c r="EB433" s="4"/>
      <c r="EC433" s="4"/>
    </row>
    <row r="434" spans="1:133" s="13" customFormat="1" ht="63" x14ac:dyDescent="0.25">
      <c r="A434" s="130" t="s">
        <v>533</v>
      </c>
      <c r="B434" s="132" t="s">
        <v>827</v>
      </c>
      <c r="C434" s="119" t="s">
        <v>855</v>
      </c>
      <c r="D434" s="110" t="s">
        <v>829</v>
      </c>
      <c r="E434" s="136">
        <v>0.61</v>
      </c>
      <c r="F434" s="136">
        <v>0.7</v>
      </c>
      <c r="G434" s="104" t="s">
        <v>863</v>
      </c>
      <c r="H434" s="104" t="s">
        <v>1564</v>
      </c>
      <c r="I434" s="103" t="s">
        <v>864</v>
      </c>
      <c r="J434" s="103" t="s">
        <v>1687</v>
      </c>
      <c r="K434" s="56">
        <v>0</v>
      </c>
      <c r="L434" s="86">
        <v>30000</v>
      </c>
      <c r="M434" s="98" t="s">
        <v>1143</v>
      </c>
      <c r="N434" s="56" t="s">
        <v>187</v>
      </c>
      <c r="O434" s="54" t="s">
        <v>832</v>
      </c>
      <c r="P434" s="58" t="s">
        <v>39</v>
      </c>
      <c r="Q434" s="171" t="s">
        <v>1680</v>
      </c>
      <c r="R434" s="182">
        <v>0</v>
      </c>
      <c r="S434" s="178">
        <v>5000</v>
      </c>
      <c r="T434" s="178">
        <v>10000</v>
      </c>
      <c r="U434" s="183">
        <v>15000</v>
      </c>
      <c r="V434" s="59"/>
      <c r="W434" s="60"/>
      <c r="X434" s="60"/>
      <c r="Y434" s="60"/>
      <c r="Z434" s="60"/>
      <c r="AA434" s="61"/>
      <c r="AB434" s="62"/>
      <c r="AC434" s="60"/>
      <c r="AD434" s="60"/>
      <c r="AE434" s="60"/>
      <c r="AF434" s="60">
        <v>5175000000</v>
      </c>
      <c r="AG434" s="60"/>
      <c r="AH434" s="63"/>
      <c r="AI434" s="62"/>
      <c r="AJ434" s="60"/>
      <c r="AK434" s="60"/>
      <c r="AL434" s="60"/>
      <c r="AM434" s="60">
        <v>53139000000</v>
      </c>
      <c r="AN434" s="60"/>
      <c r="AO434" s="63"/>
      <c r="AP434" s="62"/>
      <c r="AQ434" s="60"/>
      <c r="AR434" s="60"/>
      <c r="AS434" s="60"/>
      <c r="AT434" s="60">
        <v>30876000000</v>
      </c>
      <c r="AU434" s="60"/>
      <c r="AV434" s="64"/>
      <c r="AW434" s="55">
        <f t="shared" si="33"/>
        <v>0</v>
      </c>
      <c r="AX434" s="55">
        <f t="shared" si="34"/>
        <v>5175000000</v>
      </c>
      <c r="AY434" s="55">
        <f t="shared" si="35"/>
        <v>53139000000</v>
      </c>
      <c r="AZ434" s="55">
        <f t="shared" si="36"/>
        <v>30876000000</v>
      </c>
      <c r="BA434" s="55">
        <f t="shared" si="37"/>
        <v>89190000000</v>
      </c>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c r="CP434" s="4"/>
      <c r="CQ434" s="4"/>
      <c r="CR434" s="4"/>
      <c r="CS434" s="4"/>
      <c r="CT434" s="4"/>
      <c r="CU434" s="4"/>
      <c r="CV434" s="4"/>
      <c r="CW434" s="4"/>
      <c r="CX434" s="4"/>
      <c r="CY434" s="4"/>
      <c r="CZ434" s="4"/>
      <c r="DA434" s="4"/>
      <c r="DB434" s="4"/>
      <c r="DC434" s="4"/>
      <c r="DD434" s="4"/>
      <c r="DE434" s="4"/>
      <c r="DF434" s="4"/>
      <c r="DG434" s="4"/>
      <c r="DH434" s="4"/>
      <c r="DI434" s="4"/>
      <c r="DJ434" s="4"/>
      <c r="DK434" s="4"/>
      <c r="DL434" s="4"/>
      <c r="DM434" s="4"/>
      <c r="DN434" s="4"/>
      <c r="DO434" s="4"/>
      <c r="DP434" s="4"/>
      <c r="DQ434" s="4"/>
      <c r="DR434" s="4"/>
      <c r="DS434" s="4"/>
      <c r="DT434" s="4"/>
      <c r="DU434" s="4"/>
      <c r="DV434" s="4"/>
      <c r="DW434" s="4"/>
      <c r="DX434" s="4"/>
      <c r="DY434" s="4"/>
      <c r="DZ434" s="4"/>
      <c r="EA434" s="4"/>
      <c r="EB434" s="4"/>
      <c r="EC434" s="4"/>
    </row>
    <row r="435" spans="1:133" s="13" customFormat="1" ht="78.75" x14ac:dyDescent="0.25">
      <c r="A435" s="130" t="s">
        <v>533</v>
      </c>
      <c r="B435" s="132" t="s">
        <v>827</v>
      </c>
      <c r="C435" s="119" t="s">
        <v>855</v>
      </c>
      <c r="D435" s="110" t="s">
        <v>829</v>
      </c>
      <c r="E435" s="136">
        <v>0.61</v>
      </c>
      <c r="F435" s="136">
        <v>0.7</v>
      </c>
      <c r="G435" s="122" t="s">
        <v>865</v>
      </c>
      <c r="H435" s="122" t="s">
        <v>1565</v>
      </c>
      <c r="I435" s="103" t="s">
        <v>866</v>
      </c>
      <c r="J435" s="103" t="s">
        <v>1682</v>
      </c>
      <c r="K435" s="178">
        <v>0</v>
      </c>
      <c r="L435" s="179">
        <v>100</v>
      </c>
      <c r="M435" s="98" t="s">
        <v>867</v>
      </c>
      <c r="N435" s="56" t="s">
        <v>187</v>
      </c>
      <c r="O435" s="54" t="s">
        <v>832</v>
      </c>
      <c r="P435" s="58" t="s">
        <v>39</v>
      </c>
      <c r="Q435" s="171" t="s">
        <v>1680</v>
      </c>
      <c r="R435" s="182">
        <v>50</v>
      </c>
      <c r="S435" s="178">
        <v>50</v>
      </c>
      <c r="T435" s="178">
        <v>0</v>
      </c>
      <c r="U435" s="183">
        <v>0</v>
      </c>
      <c r="V435" s="59">
        <v>10000000</v>
      </c>
      <c r="W435" s="60"/>
      <c r="X435" s="60"/>
      <c r="Y435" s="60"/>
      <c r="Z435" s="60"/>
      <c r="AA435" s="61"/>
      <c r="AB435" s="62">
        <v>50000000</v>
      </c>
      <c r="AC435" s="60"/>
      <c r="AD435" s="60"/>
      <c r="AE435" s="60"/>
      <c r="AF435" s="60"/>
      <c r="AG435" s="60"/>
      <c r="AH435" s="63"/>
      <c r="AI435" s="62"/>
      <c r="AJ435" s="60"/>
      <c r="AK435" s="60"/>
      <c r="AL435" s="60"/>
      <c r="AM435" s="60"/>
      <c r="AN435" s="60"/>
      <c r="AO435" s="63"/>
      <c r="AP435" s="62"/>
      <c r="AQ435" s="60"/>
      <c r="AR435" s="60"/>
      <c r="AS435" s="60"/>
      <c r="AT435" s="60"/>
      <c r="AU435" s="60"/>
      <c r="AV435" s="64"/>
      <c r="AW435" s="55">
        <f t="shared" si="33"/>
        <v>10000000</v>
      </c>
      <c r="AX435" s="55">
        <f t="shared" si="34"/>
        <v>50000000</v>
      </c>
      <c r="AY435" s="55">
        <f t="shared" si="35"/>
        <v>0</v>
      </c>
      <c r="AZ435" s="55">
        <f t="shared" si="36"/>
        <v>0</v>
      </c>
      <c r="BA435" s="55">
        <f t="shared" si="37"/>
        <v>60000000</v>
      </c>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row>
    <row r="436" spans="1:133" s="13" customFormat="1" ht="78.75" x14ac:dyDescent="0.25">
      <c r="A436" s="130" t="s">
        <v>533</v>
      </c>
      <c r="B436" s="132" t="s">
        <v>827</v>
      </c>
      <c r="C436" s="119" t="s">
        <v>855</v>
      </c>
      <c r="D436" s="110" t="s">
        <v>829</v>
      </c>
      <c r="E436" s="136">
        <v>0.61</v>
      </c>
      <c r="F436" s="136">
        <v>0.7</v>
      </c>
      <c r="G436" s="122" t="s">
        <v>865</v>
      </c>
      <c r="H436" s="122" t="s">
        <v>1566</v>
      </c>
      <c r="I436" s="103" t="s">
        <v>868</v>
      </c>
      <c r="J436" s="103" t="s">
        <v>1682</v>
      </c>
      <c r="K436" s="178">
        <v>0</v>
      </c>
      <c r="L436" s="179">
        <v>100</v>
      </c>
      <c r="M436" s="98" t="s">
        <v>220</v>
      </c>
      <c r="N436" s="56" t="s">
        <v>187</v>
      </c>
      <c r="O436" s="54" t="s">
        <v>832</v>
      </c>
      <c r="P436" s="58" t="s">
        <v>39</v>
      </c>
      <c r="Q436" s="171" t="s">
        <v>1680</v>
      </c>
      <c r="R436" s="182">
        <v>0</v>
      </c>
      <c r="S436" s="178">
        <v>0</v>
      </c>
      <c r="T436" s="178">
        <v>10</v>
      </c>
      <c r="U436" s="183">
        <v>90</v>
      </c>
      <c r="V436" s="59"/>
      <c r="W436" s="60"/>
      <c r="X436" s="60"/>
      <c r="Y436" s="60"/>
      <c r="Z436" s="60"/>
      <c r="AA436" s="61"/>
      <c r="AB436" s="62"/>
      <c r="AC436" s="60"/>
      <c r="AD436" s="60"/>
      <c r="AE436" s="60"/>
      <c r="AF436" s="60"/>
      <c r="AG436" s="60"/>
      <c r="AH436" s="63"/>
      <c r="AI436" s="62">
        <f>5000000000*0.1</f>
        <v>500000000</v>
      </c>
      <c r="AJ436" s="60"/>
      <c r="AK436" s="60"/>
      <c r="AL436" s="60"/>
      <c r="AM436" s="60"/>
      <c r="AN436" s="60"/>
      <c r="AO436" s="63"/>
      <c r="AP436" s="62">
        <f>5000000000*0.9</f>
        <v>4500000000</v>
      </c>
      <c r="AQ436" s="60"/>
      <c r="AR436" s="60"/>
      <c r="AS436" s="60"/>
      <c r="AT436" s="60"/>
      <c r="AU436" s="60"/>
      <c r="AV436" s="64"/>
      <c r="AW436" s="55">
        <f t="shared" si="33"/>
        <v>0</v>
      </c>
      <c r="AX436" s="55">
        <f t="shared" si="34"/>
        <v>0</v>
      </c>
      <c r="AY436" s="55">
        <f t="shared" si="35"/>
        <v>500000000</v>
      </c>
      <c r="AZ436" s="55">
        <f t="shared" si="36"/>
        <v>4500000000</v>
      </c>
      <c r="BA436" s="55">
        <f t="shared" si="37"/>
        <v>5000000000</v>
      </c>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c r="CP436" s="4"/>
      <c r="CQ436" s="4"/>
      <c r="CR436" s="4"/>
      <c r="CS436" s="4"/>
      <c r="CT436" s="4"/>
      <c r="CU436" s="4"/>
      <c r="CV436" s="4"/>
      <c r="CW436" s="4"/>
      <c r="CX436" s="4"/>
      <c r="CY436" s="4"/>
      <c r="CZ436" s="4"/>
      <c r="DA436" s="4"/>
      <c r="DB436" s="4"/>
      <c r="DC436" s="4"/>
      <c r="DD436" s="4"/>
      <c r="DE436" s="4"/>
      <c r="DF436" s="4"/>
      <c r="DG436" s="4"/>
      <c r="DH436" s="4"/>
      <c r="DI436" s="4"/>
      <c r="DJ436" s="4"/>
      <c r="DK436" s="4"/>
      <c r="DL436" s="4"/>
      <c r="DM436" s="4"/>
      <c r="DN436" s="4"/>
      <c r="DO436" s="4"/>
      <c r="DP436" s="4"/>
      <c r="DQ436" s="4"/>
      <c r="DR436" s="4"/>
      <c r="DS436" s="4"/>
      <c r="DT436" s="4"/>
      <c r="DU436" s="4"/>
      <c r="DV436" s="4"/>
      <c r="DW436" s="4"/>
      <c r="DX436" s="4"/>
      <c r="DY436" s="4"/>
      <c r="DZ436" s="4"/>
      <c r="EA436" s="4"/>
      <c r="EB436" s="4"/>
      <c r="EC436" s="4"/>
    </row>
    <row r="437" spans="1:133" s="13" customFormat="1" ht="63" x14ac:dyDescent="0.25">
      <c r="A437" s="105" t="s">
        <v>869</v>
      </c>
      <c r="B437" s="110" t="s">
        <v>870</v>
      </c>
      <c r="C437" s="118" t="s">
        <v>871</v>
      </c>
      <c r="D437" s="118" t="s">
        <v>872</v>
      </c>
      <c r="E437" s="118">
        <v>74.900000000000006</v>
      </c>
      <c r="F437" s="118">
        <v>78</v>
      </c>
      <c r="G437" s="110" t="s">
        <v>873</v>
      </c>
      <c r="H437" s="110" t="s">
        <v>1567</v>
      </c>
      <c r="I437" s="90" t="s">
        <v>874</v>
      </c>
      <c r="J437" s="90" t="s">
        <v>1682</v>
      </c>
      <c r="K437" s="178">
        <v>100</v>
      </c>
      <c r="L437" s="179">
        <v>100</v>
      </c>
      <c r="M437" s="56" t="s">
        <v>584</v>
      </c>
      <c r="N437" s="56" t="s">
        <v>369</v>
      </c>
      <c r="O437" s="54" t="s">
        <v>193</v>
      </c>
      <c r="P437" s="58" t="s">
        <v>42</v>
      </c>
      <c r="Q437" s="54" t="s">
        <v>1679</v>
      </c>
      <c r="R437" s="182">
        <v>100</v>
      </c>
      <c r="S437" s="178">
        <v>100</v>
      </c>
      <c r="T437" s="178">
        <v>100</v>
      </c>
      <c r="U437" s="183">
        <v>100</v>
      </c>
      <c r="V437" s="59">
        <v>20000000000</v>
      </c>
      <c r="W437" s="60"/>
      <c r="X437" s="60"/>
      <c r="Y437" s="60"/>
      <c r="Z437" s="60"/>
      <c r="AA437" s="61"/>
      <c r="AB437" s="62">
        <v>15850800000</v>
      </c>
      <c r="AC437" s="60"/>
      <c r="AD437" s="60"/>
      <c r="AE437" s="60"/>
      <c r="AF437" s="60"/>
      <c r="AG437" s="60"/>
      <c r="AH437" s="63"/>
      <c r="AI437" s="62">
        <v>9850800000</v>
      </c>
      <c r="AJ437" s="60"/>
      <c r="AK437" s="60"/>
      <c r="AL437" s="60"/>
      <c r="AM437" s="60"/>
      <c r="AN437" s="60"/>
      <c r="AO437" s="63"/>
      <c r="AP437" s="62">
        <v>15850800000</v>
      </c>
      <c r="AQ437" s="60"/>
      <c r="AR437" s="60"/>
      <c r="AS437" s="60"/>
      <c r="AT437" s="60"/>
      <c r="AU437" s="60"/>
      <c r="AV437" s="64"/>
      <c r="AW437" s="55">
        <f t="shared" si="33"/>
        <v>20000000000</v>
      </c>
      <c r="AX437" s="55">
        <f t="shared" si="34"/>
        <v>15850800000</v>
      </c>
      <c r="AY437" s="55">
        <f t="shared" si="35"/>
        <v>9850800000</v>
      </c>
      <c r="AZ437" s="55">
        <f t="shared" si="36"/>
        <v>15850800000</v>
      </c>
      <c r="BA437" s="55">
        <f t="shared" si="37"/>
        <v>61552400000</v>
      </c>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c r="CP437" s="4"/>
      <c r="CQ437" s="4"/>
      <c r="CR437" s="4"/>
      <c r="CS437" s="4"/>
      <c r="CT437" s="4"/>
      <c r="CU437" s="4"/>
      <c r="CV437" s="4"/>
      <c r="CW437" s="4"/>
      <c r="CX437" s="4"/>
      <c r="CY437" s="4"/>
      <c r="CZ437" s="4"/>
      <c r="DA437" s="4"/>
      <c r="DB437" s="4"/>
      <c r="DC437" s="4"/>
      <c r="DD437" s="4"/>
      <c r="DE437" s="4"/>
      <c r="DF437" s="4"/>
      <c r="DG437" s="4"/>
      <c r="DH437" s="4"/>
      <c r="DI437" s="4"/>
      <c r="DJ437" s="4"/>
      <c r="DK437" s="4"/>
      <c r="DL437" s="4"/>
      <c r="DM437" s="4"/>
      <c r="DN437" s="4"/>
      <c r="DO437" s="4"/>
      <c r="DP437" s="4"/>
      <c r="DQ437" s="4"/>
      <c r="DR437" s="4"/>
      <c r="DS437" s="4"/>
      <c r="DT437" s="4"/>
      <c r="DU437" s="4"/>
      <c r="DV437" s="4"/>
      <c r="DW437" s="4"/>
      <c r="DX437" s="4"/>
      <c r="DY437" s="4"/>
      <c r="DZ437" s="4"/>
      <c r="EA437" s="4"/>
      <c r="EB437" s="4"/>
      <c r="EC437" s="4"/>
    </row>
    <row r="438" spans="1:133" s="13" customFormat="1" ht="63" x14ac:dyDescent="0.25">
      <c r="A438" s="105" t="s">
        <v>869</v>
      </c>
      <c r="B438" s="110" t="s">
        <v>870</v>
      </c>
      <c r="C438" s="118" t="s">
        <v>871</v>
      </c>
      <c r="D438" s="118" t="s">
        <v>872</v>
      </c>
      <c r="E438" s="118">
        <v>74.900000000000006</v>
      </c>
      <c r="F438" s="118">
        <v>78</v>
      </c>
      <c r="G438" s="110" t="s">
        <v>873</v>
      </c>
      <c r="H438" s="110" t="s">
        <v>1568</v>
      </c>
      <c r="I438" s="103" t="s">
        <v>876</v>
      </c>
      <c r="J438" s="103" t="s">
        <v>1683</v>
      </c>
      <c r="K438" s="56">
        <v>0</v>
      </c>
      <c r="L438" s="86">
        <v>16</v>
      </c>
      <c r="M438" s="56" t="s">
        <v>584</v>
      </c>
      <c r="N438" s="56" t="s">
        <v>369</v>
      </c>
      <c r="O438" s="54" t="s">
        <v>193</v>
      </c>
      <c r="P438" s="58" t="s">
        <v>39</v>
      </c>
      <c r="Q438" s="171" t="s">
        <v>1680</v>
      </c>
      <c r="R438" s="182">
        <v>2</v>
      </c>
      <c r="S438" s="178">
        <v>5</v>
      </c>
      <c r="T438" s="178">
        <v>5</v>
      </c>
      <c r="U438" s="183">
        <v>4</v>
      </c>
      <c r="V438" s="59">
        <v>120000000</v>
      </c>
      <c r="W438" s="60"/>
      <c r="X438" s="60"/>
      <c r="Y438" s="60"/>
      <c r="Z438" s="60"/>
      <c r="AA438" s="61"/>
      <c r="AB438" s="62">
        <v>300000000</v>
      </c>
      <c r="AC438" s="60"/>
      <c r="AD438" s="60"/>
      <c r="AE438" s="60"/>
      <c r="AF438" s="60"/>
      <c r="AG438" s="60"/>
      <c r="AH438" s="63"/>
      <c r="AI438" s="62">
        <v>300000000</v>
      </c>
      <c r="AJ438" s="60"/>
      <c r="AK438" s="60"/>
      <c r="AL438" s="60"/>
      <c r="AM438" s="60"/>
      <c r="AN438" s="60"/>
      <c r="AO438" s="63"/>
      <c r="AP438" s="62">
        <v>240000000</v>
      </c>
      <c r="AQ438" s="60"/>
      <c r="AR438" s="60"/>
      <c r="AS438" s="60"/>
      <c r="AT438" s="60"/>
      <c r="AU438" s="60"/>
      <c r="AV438" s="64"/>
      <c r="AW438" s="55">
        <f t="shared" si="33"/>
        <v>120000000</v>
      </c>
      <c r="AX438" s="55">
        <f t="shared" si="34"/>
        <v>300000000</v>
      </c>
      <c r="AY438" s="55">
        <f t="shared" si="35"/>
        <v>300000000</v>
      </c>
      <c r="AZ438" s="55">
        <f t="shared" si="36"/>
        <v>240000000</v>
      </c>
      <c r="BA438" s="55">
        <f t="shared" si="37"/>
        <v>960000000</v>
      </c>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row>
    <row r="439" spans="1:133" s="13" customFormat="1" ht="63" x14ac:dyDescent="0.25">
      <c r="A439" s="105" t="s">
        <v>869</v>
      </c>
      <c r="B439" s="110" t="s">
        <v>870</v>
      </c>
      <c r="C439" s="118" t="s">
        <v>871</v>
      </c>
      <c r="D439" s="118" t="s">
        <v>872</v>
      </c>
      <c r="E439" s="118">
        <v>74.900000000000006</v>
      </c>
      <c r="F439" s="118">
        <v>78</v>
      </c>
      <c r="G439" s="110" t="s">
        <v>877</v>
      </c>
      <c r="H439" s="110" t="s">
        <v>1569</v>
      </c>
      <c r="I439" s="103" t="s">
        <v>878</v>
      </c>
      <c r="J439" s="103" t="s">
        <v>1685</v>
      </c>
      <c r="K439" s="56">
        <v>6</v>
      </c>
      <c r="L439" s="86">
        <v>6</v>
      </c>
      <c r="M439" s="56" t="s">
        <v>776</v>
      </c>
      <c r="N439" s="56" t="s">
        <v>369</v>
      </c>
      <c r="O439" s="54" t="s">
        <v>193</v>
      </c>
      <c r="P439" s="58" t="s">
        <v>42</v>
      </c>
      <c r="Q439" s="54" t="s">
        <v>1679</v>
      </c>
      <c r="R439" s="182">
        <v>6</v>
      </c>
      <c r="S439" s="178">
        <v>6</v>
      </c>
      <c r="T439" s="178">
        <v>6</v>
      </c>
      <c r="U439" s="183">
        <v>6</v>
      </c>
      <c r="V439" s="59">
        <v>706860000</v>
      </c>
      <c r="W439" s="60"/>
      <c r="X439" s="60"/>
      <c r="Y439" s="60"/>
      <c r="Z439" s="60"/>
      <c r="AA439" s="61"/>
      <c r="AB439" s="62">
        <v>733720680</v>
      </c>
      <c r="AC439" s="60"/>
      <c r="AD439" s="60"/>
      <c r="AE439" s="60"/>
      <c r="AF439" s="60"/>
      <c r="AG439" s="60"/>
      <c r="AH439" s="63"/>
      <c r="AI439" s="62">
        <v>761602065</v>
      </c>
      <c r="AJ439" s="60"/>
      <c r="AK439" s="60"/>
      <c r="AL439" s="60"/>
      <c r="AM439" s="60"/>
      <c r="AN439" s="60"/>
      <c r="AO439" s="63"/>
      <c r="AP439" s="62">
        <v>790542944</v>
      </c>
      <c r="AQ439" s="60"/>
      <c r="AR439" s="60"/>
      <c r="AS439" s="60"/>
      <c r="AT439" s="60"/>
      <c r="AU439" s="60"/>
      <c r="AV439" s="64"/>
      <c r="AW439" s="55">
        <f t="shared" si="33"/>
        <v>706860000</v>
      </c>
      <c r="AX439" s="55">
        <f t="shared" si="34"/>
        <v>733720680</v>
      </c>
      <c r="AY439" s="55">
        <f t="shared" si="35"/>
        <v>761602065</v>
      </c>
      <c r="AZ439" s="55">
        <f t="shared" si="36"/>
        <v>790542944</v>
      </c>
      <c r="BA439" s="55">
        <f t="shared" si="37"/>
        <v>2992725689</v>
      </c>
      <c r="BB439" s="32"/>
      <c r="BC439" s="32"/>
      <c r="BD439" s="32"/>
      <c r="BE439" s="32"/>
      <c r="BF439" s="32"/>
      <c r="BG439" s="32"/>
      <c r="BH439" s="32"/>
      <c r="BI439" s="32"/>
      <c r="BJ439" s="32"/>
      <c r="BK439" s="32"/>
      <c r="BL439" s="32"/>
      <c r="BM439" s="32"/>
      <c r="BN439" s="32"/>
      <c r="BO439" s="32"/>
      <c r="BP439" s="32"/>
      <c r="BQ439" s="32"/>
      <c r="BR439" s="32"/>
      <c r="BS439" s="32"/>
      <c r="BT439" s="32"/>
      <c r="BU439" s="32"/>
      <c r="BV439" s="32"/>
      <c r="BW439" s="32"/>
      <c r="BX439" s="32"/>
      <c r="BY439" s="32"/>
      <c r="BZ439" s="32"/>
      <c r="CA439" s="32"/>
      <c r="CB439" s="32"/>
      <c r="CC439" s="32"/>
      <c r="CD439" s="32"/>
      <c r="CE439" s="32"/>
      <c r="CF439" s="32"/>
      <c r="CG439" s="32"/>
      <c r="CH439" s="32"/>
      <c r="CI439" s="32"/>
      <c r="CJ439" s="32"/>
      <c r="CK439" s="32"/>
      <c r="CL439" s="32"/>
      <c r="CM439" s="32"/>
      <c r="CN439" s="32"/>
      <c r="CO439" s="32"/>
      <c r="CP439" s="32"/>
      <c r="CQ439" s="32"/>
      <c r="CR439" s="32"/>
      <c r="CS439" s="32"/>
      <c r="CT439" s="32"/>
      <c r="CU439" s="32"/>
      <c r="CV439" s="32"/>
      <c r="CW439" s="32"/>
      <c r="CX439" s="32"/>
      <c r="CY439" s="32"/>
      <c r="CZ439" s="32"/>
      <c r="DA439" s="32"/>
      <c r="DB439" s="32"/>
      <c r="DC439" s="32"/>
      <c r="DD439" s="32"/>
      <c r="DE439" s="32"/>
      <c r="DF439" s="32"/>
      <c r="DG439" s="32"/>
      <c r="DH439" s="32"/>
      <c r="DI439" s="32"/>
      <c r="DJ439" s="32"/>
      <c r="DK439" s="32"/>
      <c r="DL439" s="32"/>
      <c r="DM439" s="32"/>
      <c r="DN439" s="32"/>
      <c r="DO439" s="32"/>
      <c r="DP439" s="32"/>
      <c r="DQ439" s="32"/>
      <c r="DR439" s="32"/>
      <c r="DS439" s="32"/>
      <c r="DT439" s="32"/>
      <c r="DU439" s="32"/>
      <c r="DV439" s="32"/>
      <c r="DW439" s="32"/>
      <c r="DX439" s="32"/>
      <c r="DY439" s="32"/>
      <c r="DZ439" s="32"/>
      <c r="EA439" s="32"/>
      <c r="EB439" s="32"/>
      <c r="EC439" s="32"/>
    </row>
    <row r="440" spans="1:133" s="13" customFormat="1" ht="78.75" x14ac:dyDescent="0.25">
      <c r="A440" s="105" t="s">
        <v>869</v>
      </c>
      <c r="B440" s="110" t="s">
        <v>870</v>
      </c>
      <c r="C440" s="118" t="s">
        <v>871</v>
      </c>
      <c r="D440" s="118" t="s">
        <v>872</v>
      </c>
      <c r="E440" s="118">
        <v>74.900000000000006</v>
      </c>
      <c r="F440" s="118">
        <v>78</v>
      </c>
      <c r="G440" s="110" t="s">
        <v>877</v>
      </c>
      <c r="H440" s="110" t="s">
        <v>1570</v>
      </c>
      <c r="I440" s="103" t="s">
        <v>879</v>
      </c>
      <c r="J440" s="103" t="s">
        <v>1682</v>
      </c>
      <c r="K440" s="56" t="s">
        <v>90</v>
      </c>
      <c r="L440" s="179">
        <v>100</v>
      </c>
      <c r="M440" s="56" t="s">
        <v>776</v>
      </c>
      <c r="N440" s="56" t="s">
        <v>369</v>
      </c>
      <c r="O440" s="54" t="s">
        <v>193</v>
      </c>
      <c r="P440" s="58" t="s">
        <v>42</v>
      </c>
      <c r="Q440" s="54" t="s">
        <v>1679</v>
      </c>
      <c r="R440" s="182">
        <v>100</v>
      </c>
      <c r="S440" s="178">
        <v>100</v>
      </c>
      <c r="T440" s="178">
        <v>100</v>
      </c>
      <c r="U440" s="183">
        <v>100</v>
      </c>
      <c r="V440" s="59">
        <v>1447740000</v>
      </c>
      <c r="W440" s="60"/>
      <c r="X440" s="60"/>
      <c r="Y440" s="60"/>
      <c r="Z440" s="60"/>
      <c r="AA440" s="61"/>
      <c r="AB440" s="62">
        <v>1502754120</v>
      </c>
      <c r="AC440" s="60"/>
      <c r="AD440" s="60"/>
      <c r="AE440" s="60"/>
      <c r="AF440" s="60"/>
      <c r="AG440" s="60"/>
      <c r="AH440" s="63"/>
      <c r="AI440" s="62">
        <v>1559858776</v>
      </c>
      <c r="AJ440" s="60"/>
      <c r="AK440" s="60"/>
      <c r="AL440" s="60"/>
      <c r="AM440" s="60"/>
      <c r="AN440" s="60"/>
      <c r="AO440" s="63"/>
      <c r="AP440" s="62">
        <v>1619133410</v>
      </c>
      <c r="AQ440" s="60"/>
      <c r="AR440" s="60"/>
      <c r="AS440" s="60"/>
      <c r="AT440" s="60"/>
      <c r="AU440" s="60"/>
      <c r="AV440" s="64"/>
      <c r="AW440" s="55">
        <f t="shared" si="33"/>
        <v>1447740000</v>
      </c>
      <c r="AX440" s="55">
        <f t="shared" si="34"/>
        <v>1502754120</v>
      </c>
      <c r="AY440" s="55">
        <f t="shared" si="35"/>
        <v>1559858776</v>
      </c>
      <c r="AZ440" s="55">
        <f t="shared" si="36"/>
        <v>1619133410</v>
      </c>
      <c r="BA440" s="55">
        <f t="shared" si="37"/>
        <v>6129486306</v>
      </c>
      <c r="BB440" s="32"/>
      <c r="BC440" s="32"/>
      <c r="BD440" s="32"/>
      <c r="BE440" s="32"/>
      <c r="BF440" s="32"/>
      <c r="BG440" s="32"/>
      <c r="BH440" s="32"/>
      <c r="BI440" s="32"/>
      <c r="BJ440" s="32"/>
      <c r="BK440" s="32"/>
      <c r="BL440" s="32"/>
      <c r="BM440" s="32"/>
      <c r="BN440" s="32"/>
      <c r="BO440" s="32"/>
      <c r="BP440" s="32"/>
      <c r="BQ440" s="32"/>
      <c r="BR440" s="32"/>
      <c r="BS440" s="32"/>
      <c r="BT440" s="32"/>
      <c r="BU440" s="32"/>
      <c r="BV440" s="32"/>
      <c r="BW440" s="32"/>
      <c r="BX440" s="32"/>
      <c r="BY440" s="32"/>
      <c r="BZ440" s="32"/>
      <c r="CA440" s="32"/>
      <c r="CB440" s="32"/>
      <c r="CC440" s="32"/>
      <c r="CD440" s="32"/>
      <c r="CE440" s="32"/>
      <c r="CF440" s="32"/>
      <c r="CG440" s="32"/>
      <c r="CH440" s="32"/>
      <c r="CI440" s="32"/>
      <c r="CJ440" s="32"/>
      <c r="CK440" s="32"/>
      <c r="CL440" s="32"/>
      <c r="CM440" s="32"/>
      <c r="CN440" s="32"/>
      <c r="CO440" s="32"/>
      <c r="CP440" s="32"/>
      <c r="CQ440" s="32"/>
      <c r="CR440" s="32"/>
      <c r="CS440" s="32"/>
      <c r="CT440" s="32"/>
      <c r="CU440" s="32"/>
      <c r="CV440" s="32"/>
      <c r="CW440" s="32"/>
      <c r="CX440" s="32"/>
      <c r="CY440" s="32"/>
      <c r="CZ440" s="32"/>
      <c r="DA440" s="32"/>
      <c r="DB440" s="32"/>
      <c r="DC440" s="32"/>
      <c r="DD440" s="32"/>
      <c r="DE440" s="32"/>
      <c r="DF440" s="32"/>
      <c r="DG440" s="32"/>
      <c r="DH440" s="32"/>
      <c r="DI440" s="32"/>
      <c r="DJ440" s="32"/>
      <c r="DK440" s="32"/>
      <c r="DL440" s="32"/>
      <c r="DM440" s="32"/>
      <c r="DN440" s="32"/>
      <c r="DO440" s="32"/>
      <c r="DP440" s="32"/>
      <c r="DQ440" s="32"/>
      <c r="DR440" s="32"/>
      <c r="DS440" s="32"/>
      <c r="DT440" s="32"/>
      <c r="DU440" s="32"/>
      <c r="DV440" s="32"/>
      <c r="DW440" s="32"/>
      <c r="DX440" s="32"/>
      <c r="DY440" s="32"/>
      <c r="DZ440" s="32"/>
      <c r="EA440" s="32"/>
      <c r="EB440" s="32"/>
      <c r="EC440" s="32"/>
    </row>
    <row r="441" spans="1:133" s="13" customFormat="1" ht="63" x14ac:dyDescent="0.25">
      <c r="A441" s="105" t="s">
        <v>869</v>
      </c>
      <c r="B441" s="110" t="s">
        <v>870</v>
      </c>
      <c r="C441" s="118" t="s">
        <v>871</v>
      </c>
      <c r="D441" s="118" t="s">
        <v>872</v>
      </c>
      <c r="E441" s="118">
        <v>74.900000000000006</v>
      </c>
      <c r="F441" s="118">
        <v>78</v>
      </c>
      <c r="G441" s="110" t="s">
        <v>880</v>
      </c>
      <c r="H441" s="110" t="s">
        <v>1571</v>
      </c>
      <c r="I441" s="103" t="s">
        <v>881</v>
      </c>
      <c r="J441" s="103" t="s">
        <v>1682</v>
      </c>
      <c r="K441" s="178">
        <v>96.56</v>
      </c>
      <c r="L441" s="179">
        <v>98</v>
      </c>
      <c r="M441" s="56" t="s">
        <v>776</v>
      </c>
      <c r="N441" s="56" t="s">
        <v>369</v>
      </c>
      <c r="O441" s="54" t="s">
        <v>193</v>
      </c>
      <c r="P441" s="58" t="s">
        <v>1677</v>
      </c>
      <c r="Q441" s="171" t="s">
        <v>1679</v>
      </c>
      <c r="R441" s="182">
        <v>97</v>
      </c>
      <c r="S441" s="178">
        <v>97.5</v>
      </c>
      <c r="T441" s="178">
        <v>97.8</v>
      </c>
      <c r="U441" s="183">
        <v>98</v>
      </c>
      <c r="V441" s="59">
        <v>964085750</v>
      </c>
      <c r="W441" s="60"/>
      <c r="X441" s="60"/>
      <c r="Y441" s="60"/>
      <c r="Z441" s="60"/>
      <c r="AA441" s="61"/>
      <c r="AB441" s="62">
        <v>998985654.14999998</v>
      </c>
      <c r="AC441" s="60"/>
      <c r="AD441" s="60"/>
      <c r="AE441" s="60"/>
      <c r="AF441" s="60"/>
      <c r="AG441" s="60"/>
      <c r="AH441" s="63"/>
      <c r="AI441" s="62">
        <v>1035148934.83023</v>
      </c>
      <c r="AJ441" s="60"/>
      <c r="AK441" s="60"/>
      <c r="AL441" s="60"/>
      <c r="AM441" s="60"/>
      <c r="AN441" s="60"/>
      <c r="AO441" s="63"/>
      <c r="AP441" s="62">
        <v>1072621326.2710843</v>
      </c>
      <c r="AQ441" s="60"/>
      <c r="AR441" s="60"/>
      <c r="AS441" s="60"/>
      <c r="AT441" s="60"/>
      <c r="AU441" s="60"/>
      <c r="AV441" s="64"/>
      <c r="AW441" s="55">
        <f t="shared" si="33"/>
        <v>964085750</v>
      </c>
      <c r="AX441" s="55">
        <f t="shared" si="34"/>
        <v>998985654.14999998</v>
      </c>
      <c r="AY441" s="55">
        <f t="shared" si="35"/>
        <v>1035148934.83023</v>
      </c>
      <c r="AZ441" s="55">
        <f t="shared" si="36"/>
        <v>1072621326.2710843</v>
      </c>
      <c r="BA441" s="55">
        <f t="shared" si="37"/>
        <v>4070841665.2513146</v>
      </c>
      <c r="BB441" s="32"/>
      <c r="BC441" s="32"/>
      <c r="BD441" s="32"/>
      <c r="BE441" s="32"/>
      <c r="BF441" s="32"/>
      <c r="BG441" s="32"/>
      <c r="BH441" s="32"/>
      <c r="BI441" s="32"/>
      <c r="BJ441" s="32"/>
      <c r="BK441" s="32"/>
      <c r="BL441" s="32"/>
      <c r="BM441" s="32"/>
      <c r="BN441" s="32"/>
      <c r="BO441" s="32"/>
      <c r="BP441" s="32"/>
      <c r="BQ441" s="32"/>
      <c r="BR441" s="32"/>
      <c r="BS441" s="32"/>
      <c r="BT441" s="32"/>
      <c r="BU441" s="32"/>
      <c r="BV441" s="32"/>
      <c r="BW441" s="32"/>
      <c r="BX441" s="32"/>
      <c r="BY441" s="32"/>
      <c r="BZ441" s="32"/>
      <c r="CA441" s="32"/>
      <c r="CB441" s="32"/>
      <c r="CC441" s="32"/>
      <c r="CD441" s="32"/>
      <c r="CE441" s="32"/>
      <c r="CF441" s="32"/>
      <c r="CG441" s="32"/>
      <c r="CH441" s="32"/>
      <c r="CI441" s="32"/>
      <c r="CJ441" s="32"/>
      <c r="CK441" s="32"/>
      <c r="CL441" s="32"/>
      <c r="CM441" s="32"/>
      <c r="CN441" s="32"/>
      <c r="CO441" s="32"/>
      <c r="CP441" s="32"/>
      <c r="CQ441" s="32"/>
      <c r="CR441" s="32"/>
      <c r="CS441" s="32"/>
      <c r="CT441" s="32"/>
      <c r="CU441" s="32"/>
      <c r="CV441" s="32"/>
      <c r="CW441" s="32"/>
      <c r="CX441" s="32"/>
      <c r="CY441" s="32"/>
      <c r="CZ441" s="32"/>
      <c r="DA441" s="32"/>
      <c r="DB441" s="32"/>
      <c r="DC441" s="32"/>
      <c r="DD441" s="32"/>
      <c r="DE441" s="32"/>
      <c r="DF441" s="32"/>
      <c r="DG441" s="32"/>
      <c r="DH441" s="32"/>
      <c r="DI441" s="32"/>
      <c r="DJ441" s="32"/>
      <c r="DK441" s="32"/>
      <c r="DL441" s="32"/>
      <c r="DM441" s="32"/>
      <c r="DN441" s="32"/>
      <c r="DO441" s="32"/>
      <c r="DP441" s="32"/>
      <c r="DQ441" s="32"/>
      <c r="DR441" s="32"/>
      <c r="DS441" s="32"/>
      <c r="DT441" s="32"/>
      <c r="DU441" s="32"/>
      <c r="DV441" s="32"/>
      <c r="DW441" s="32"/>
      <c r="DX441" s="32"/>
      <c r="DY441" s="32"/>
      <c r="DZ441" s="32"/>
      <c r="EA441" s="32"/>
      <c r="EB441" s="32"/>
      <c r="EC441" s="32"/>
    </row>
    <row r="442" spans="1:133" s="13" customFormat="1" ht="63" x14ac:dyDescent="0.25">
      <c r="A442" s="105" t="s">
        <v>869</v>
      </c>
      <c r="B442" s="110" t="s">
        <v>870</v>
      </c>
      <c r="C442" s="118" t="s">
        <v>871</v>
      </c>
      <c r="D442" s="118" t="s">
        <v>872</v>
      </c>
      <c r="E442" s="118">
        <v>74.900000000000006</v>
      </c>
      <c r="F442" s="118">
        <v>78</v>
      </c>
      <c r="G442" s="110" t="s">
        <v>880</v>
      </c>
      <c r="H442" s="110" t="s">
        <v>1572</v>
      </c>
      <c r="I442" s="103" t="s">
        <v>882</v>
      </c>
      <c r="J442" s="103" t="s">
        <v>1685</v>
      </c>
      <c r="K442" s="56" t="s">
        <v>90</v>
      </c>
      <c r="L442" s="86">
        <v>2</v>
      </c>
      <c r="M442" s="56" t="s">
        <v>776</v>
      </c>
      <c r="N442" s="56" t="s">
        <v>369</v>
      </c>
      <c r="O442" s="54" t="s">
        <v>193</v>
      </c>
      <c r="P442" s="58" t="s">
        <v>39</v>
      </c>
      <c r="Q442" s="171" t="s">
        <v>1680</v>
      </c>
      <c r="R442" s="182">
        <v>0</v>
      </c>
      <c r="S442" s="178">
        <v>0</v>
      </c>
      <c r="T442" s="178">
        <v>1</v>
      </c>
      <c r="U442" s="183">
        <v>1</v>
      </c>
      <c r="V442" s="59">
        <v>0</v>
      </c>
      <c r="W442" s="60"/>
      <c r="X442" s="60"/>
      <c r="Y442" s="60"/>
      <c r="Z442" s="60"/>
      <c r="AA442" s="61"/>
      <c r="AB442" s="62">
        <v>0</v>
      </c>
      <c r="AC442" s="60"/>
      <c r="AD442" s="60"/>
      <c r="AE442" s="60"/>
      <c r="AF442" s="60"/>
      <c r="AG442" s="60"/>
      <c r="AH442" s="63"/>
      <c r="AI442" s="62">
        <v>2297281744</v>
      </c>
      <c r="AJ442" s="60"/>
      <c r="AK442" s="60"/>
      <c r="AL442" s="60"/>
      <c r="AM442" s="60"/>
      <c r="AN442" s="60"/>
      <c r="AO442" s="63"/>
      <c r="AP442" s="62">
        <v>2380443343.1328001</v>
      </c>
      <c r="AQ442" s="60"/>
      <c r="AR442" s="60"/>
      <c r="AS442" s="60"/>
      <c r="AT442" s="60"/>
      <c r="AU442" s="60"/>
      <c r="AV442" s="64"/>
      <c r="AW442" s="55">
        <f t="shared" si="33"/>
        <v>0</v>
      </c>
      <c r="AX442" s="55">
        <f t="shared" si="34"/>
        <v>0</v>
      </c>
      <c r="AY442" s="55">
        <f t="shared" si="35"/>
        <v>2297281744</v>
      </c>
      <c r="AZ442" s="55">
        <f t="shared" si="36"/>
        <v>2380443343.1328001</v>
      </c>
      <c r="BA442" s="55">
        <f t="shared" si="37"/>
        <v>4677725087.1328001</v>
      </c>
      <c r="BB442" s="32"/>
      <c r="BC442" s="32"/>
      <c r="BD442" s="32"/>
      <c r="BE442" s="32"/>
      <c r="BF442" s="32"/>
      <c r="BG442" s="32"/>
      <c r="BH442" s="32"/>
      <c r="BI442" s="32"/>
      <c r="BJ442" s="32"/>
      <c r="BK442" s="32"/>
      <c r="BL442" s="32"/>
      <c r="BM442" s="32"/>
      <c r="BN442" s="32"/>
      <c r="BO442" s="32"/>
      <c r="BP442" s="32"/>
      <c r="BQ442" s="32"/>
      <c r="BR442" s="32"/>
      <c r="BS442" s="32"/>
      <c r="BT442" s="32"/>
      <c r="BU442" s="32"/>
      <c r="BV442" s="32"/>
      <c r="BW442" s="32"/>
      <c r="BX442" s="32"/>
      <c r="BY442" s="32"/>
      <c r="BZ442" s="32"/>
      <c r="CA442" s="32"/>
      <c r="CB442" s="32"/>
      <c r="CC442" s="32"/>
      <c r="CD442" s="32"/>
      <c r="CE442" s="32"/>
      <c r="CF442" s="32"/>
      <c r="CG442" s="32"/>
      <c r="CH442" s="32"/>
      <c r="CI442" s="32"/>
      <c r="CJ442" s="32"/>
      <c r="CK442" s="32"/>
      <c r="CL442" s="32"/>
      <c r="CM442" s="32"/>
      <c r="CN442" s="32"/>
      <c r="CO442" s="32"/>
      <c r="CP442" s="32"/>
      <c r="CQ442" s="32"/>
      <c r="CR442" s="32"/>
      <c r="CS442" s="32"/>
      <c r="CT442" s="32"/>
      <c r="CU442" s="32"/>
      <c r="CV442" s="32"/>
      <c r="CW442" s="32"/>
      <c r="CX442" s="32"/>
      <c r="CY442" s="32"/>
      <c r="CZ442" s="32"/>
      <c r="DA442" s="32"/>
      <c r="DB442" s="32"/>
      <c r="DC442" s="32"/>
      <c r="DD442" s="32"/>
      <c r="DE442" s="32"/>
      <c r="DF442" s="32"/>
      <c r="DG442" s="32"/>
      <c r="DH442" s="32"/>
      <c r="DI442" s="32"/>
      <c r="DJ442" s="32"/>
      <c r="DK442" s="32"/>
      <c r="DL442" s="32"/>
      <c r="DM442" s="32"/>
      <c r="DN442" s="32"/>
      <c r="DO442" s="32"/>
      <c r="DP442" s="32"/>
      <c r="DQ442" s="32"/>
      <c r="DR442" s="32"/>
      <c r="DS442" s="32"/>
      <c r="DT442" s="32"/>
      <c r="DU442" s="32"/>
      <c r="DV442" s="32"/>
      <c r="DW442" s="32"/>
      <c r="DX442" s="32"/>
      <c r="DY442" s="32"/>
      <c r="DZ442" s="32"/>
      <c r="EA442" s="32"/>
      <c r="EB442" s="32"/>
      <c r="EC442" s="32"/>
    </row>
    <row r="443" spans="1:133" s="13" customFormat="1" ht="63" x14ac:dyDescent="0.25">
      <c r="A443" s="105" t="s">
        <v>869</v>
      </c>
      <c r="B443" s="110" t="s">
        <v>870</v>
      </c>
      <c r="C443" s="118" t="s">
        <v>871</v>
      </c>
      <c r="D443" s="118" t="s">
        <v>872</v>
      </c>
      <c r="E443" s="118">
        <v>74.900000000000006</v>
      </c>
      <c r="F443" s="118">
        <v>78</v>
      </c>
      <c r="G443" s="110" t="s">
        <v>880</v>
      </c>
      <c r="H443" s="110" t="s">
        <v>1573</v>
      </c>
      <c r="I443" s="103" t="s">
        <v>883</v>
      </c>
      <c r="J443" s="103" t="s">
        <v>1685</v>
      </c>
      <c r="K443" s="86">
        <v>2</v>
      </c>
      <c r="L443" s="86">
        <v>3</v>
      </c>
      <c r="M443" s="56" t="s">
        <v>776</v>
      </c>
      <c r="N443" s="56" t="s">
        <v>369</v>
      </c>
      <c r="O443" s="54" t="s">
        <v>193</v>
      </c>
      <c r="P443" s="58" t="s">
        <v>39</v>
      </c>
      <c r="Q443" s="171" t="s">
        <v>1680</v>
      </c>
      <c r="R443" s="182">
        <v>0</v>
      </c>
      <c r="S443" s="178">
        <v>1</v>
      </c>
      <c r="T443" s="178">
        <v>1</v>
      </c>
      <c r="U443" s="183">
        <v>1</v>
      </c>
      <c r="V443" s="59">
        <v>0</v>
      </c>
      <c r="W443" s="60"/>
      <c r="X443" s="60"/>
      <c r="Y443" s="60"/>
      <c r="Z443" s="60"/>
      <c r="AA443" s="61"/>
      <c r="AB443" s="62">
        <v>79894618</v>
      </c>
      <c r="AC443" s="60"/>
      <c r="AD443" s="60"/>
      <c r="AE443" s="60"/>
      <c r="AF443" s="60"/>
      <c r="AG443" s="60"/>
      <c r="AH443" s="63"/>
      <c r="AI443" s="62">
        <v>82786803.171599999</v>
      </c>
      <c r="AJ443" s="60"/>
      <c r="AK443" s="60"/>
      <c r="AL443" s="60"/>
      <c r="AM443" s="60"/>
      <c r="AN443" s="60"/>
      <c r="AO443" s="63"/>
      <c r="AP443" s="62">
        <v>85783685.446411923</v>
      </c>
      <c r="AQ443" s="60"/>
      <c r="AR443" s="60"/>
      <c r="AS443" s="60"/>
      <c r="AT443" s="60"/>
      <c r="AU443" s="60"/>
      <c r="AV443" s="64"/>
      <c r="AW443" s="55">
        <f t="shared" si="33"/>
        <v>0</v>
      </c>
      <c r="AX443" s="55">
        <f t="shared" si="34"/>
        <v>79894618</v>
      </c>
      <c r="AY443" s="55">
        <f t="shared" si="35"/>
        <v>82786803.171599999</v>
      </c>
      <c r="AZ443" s="55">
        <f t="shared" si="36"/>
        <v>85783685.446411923</v>
      </c>
      <c r="BA443" s="55">
        <f t="shared" si="37"/>
        <v>248465106.61801189</v>
      </c>
      <c r="BB443" s="32"/>
      <c r="BC443" s="32"/>
      <c r="BD443" s="32"/>
      <c r="BE443" s="32"/>
      <c r="BF443" s="32"/>
      <c r="BG443" s="32"/>
      <c r="BH443" s="32"/>
      <c r="BI443" s="32"/>
      <c r="BJ443" s="32"/>
      <c r="BK443" s="32"/>
      <c r="BL443" s="32"/>
      <c r="BM443" s="32"/>
      <c r="BN443" s="32"/>
      <c r="BO443" s="32"/>
      <c r="BP443" s="32"/>
      <c r="BQ443" s="32"/>
      <c r="BR443" s="32"/>
      <c r="BS443" s="32"/>
      <c r="BT443" s="32"/>
      <c r="BU443" s="32"/>
      <c r="BV443" s="32"/>
      <c r="BW443" s="32"/>
      <c r="BX443" s="32"/>
      <c r="BY443" s="32"/>
      <c r="BZ443" s="32"/>
      <c r="CA443" s="32"/>
      <c r="CB443" s="32"/>
      <c r="CC443" s="32"/>
      <c r="CD443" s="32"/>
      <c r="CE443" s="32"/>
      <c r="CF443" s="32"/>
      <c r="CG443" s="32"/>
      <c r="CH443" s="32"/>
      <c r="CI443" s="32"/>
      <c r="CJ443" s="32"/>
      <c r="CK443" s="32"/>
      <c r="CL443" s="32"/>
      <c r="CM443" s="32"/>
      <c r="CN443" s="32"/>
      <c r="CO443" s="32"/>
      <c r="CP443" s="32"/>
      <c r="CQ443" s="32"/>
      <c r="CR443" s="32"/>
      <c r="CS443" s="32"/>
      <c r="CT443" s="32"/>
      <c r="CU443" s="32"/>
      <c r="CV443" s="32"/>
      <c r="CW443" s="32"/>
      <c r="CX443" s="32"/>
      <c r="CY443" s="32"/>
      <c r="CZ443" s="32"/>
      <c r="DA443" s="32"/>
      <c r="DB443" s="32"/>
      <c r="DC443" s="32"/>
      <c r="DD443" s="32"/>
      <c r="DE443" s="32"/>
      <c r="DF443" s="32"/>
      <c r="DG443" s="32"/>
      <c r="DH443" s="32"/>
      <c r="DI443" s="32"/>
      <c r="DJ443" s="32"/>
      <c r="DK443" s="32"/>
      <c r="DL443" s="32"/>
      <c r="DM443" s="32"/>
      <c r="DN443" s="32"/>
      <c r="DO443" s="32"/>
      <c r="DP443" s="32"/>
      <c r="DQ443" s="32"/>
      <c r="DR443" s="32"/>
      <c r="DS443" s="32"/>
      <c r="DT443" s="32"/>
      <c r="DU443" s="32"/>
      <c r="DV443" s="32"/>
      <c r="DW443" s="32"/>
      <c r="DX443" s="32"/>
      <c r="DY443" s="32"/>
      <c r="DZ443" s="32"/>
      <c r="EA443" s="32"/>
      <c r="EB443" s="32"/>
      <c r="EC443" s="32"/>
    </row>
    <row r="444" spans="1:133" s="13" customFormat="1" ht="63" x14ac:dyDescent="0.25">
      <c r="A444" s="105" t="s">
        <v>869</v>
      </c>
      <c r="B444" s="110" t="s">
        <v>870</v>
      </c>
      <c r="C444" s="118" t="s">
        <v>871</v>
      </c>
      <c r="D444" s="118" t="s">
        <v>872</v>
      </c>
      <c r="E444" s="118">
        <v>74.900000000000006</v>
      </c>
      <c r="F444" s="118">
        <v>78</v>
      </c>
      <c r="G444" s="110" t="s">
        <v>880</v>
      </c>
      <c r="H444" s="110" t="s">
        <v>1574</v>
      </c>
      <c r="I444" s="103" t="s">
        <v>884</v>
      </c>
      <c r="J444" s="103" t="s">
        <v>1685</v>
      </c>
      <c r="K444" s="86">
        <v>10</v>
      </c>
      <c r="L444" s="86">
        <v>80</v>
      </c>
      <c r="M444" s="56" t="s">
        <v>776</v>
      </c>
      <c r="N444" s="56" t="s">
        <v>369</v>
      </c>
      <c r="O444" s="54" t="s">
        <v>193</v>
      </c>
      <c r="P444" s="58" t="s">
        <v>39</v>
      </c>
      <c r="Q444" s="171" t="s">
        <v>1680</v>
      </c>
      <c r="R444" s="182">
        <v>30</v>
      </c>
      <c r="S444" s="178">
        <v>20</v>
      </c>
      <c r="T444" s="178">
        <v>15</v>
      </c>
      <c r="U444" s="183">
        <v>15</v>
      </c>
      <c r="V444" s="59">
        <v>964085750</v>
      </c>
      <c r="W444" s="60"/>
      <c r="X444" s="60"/>
      <c r="Y444" s="60"/>
      <c r="Z444" s="60"/>
      <c r="AA444" s="61"/>
      <c r="AB444" s="62">
        <v>998985654.14999998</v>
      </c>
      <c r="AC444" s="60"/>
      <c r="AD444" s="60"/>
      <c r="AE444" s="60"/>
      <c r="AF444" s="60"/>
      <c r="AG444" s="60"/>
      <c r="AH444" s="63"/>
      <c r="AI444" s="62">
        <v>1035148934.83023</v>
      </c>
      <c r="AJ444" s="60"/>
      <c r="AK444" s="60"/>
      <c r="AL444" s="60"/>
      <c r="AM444" s="60"/>
      <c r="AN444" s="60"/>
      <c r="AO444" s="63"/>
      <c r="AP444" s="62">
        <v>1072621326.2710843</v>
      </c>
      <c r="AQ444" s="60"/>
      <c r="AR444" s="60"/>
      <c r="AS444" s="60"/>
      <c r="AT444" s="60"/>
      <c r="AU444" s="60"/>
      <c r="AV444" s="64"/>
      <c r="AW444" s="55">
        <f t="shared" si="33"/>
        <v>964085750</v>
      </c>
      <c r="AX444" s="55">
        <f t="shared" si="34"/>
        <v>998985654.14999998</v>
      </c>
      <c r="AY444" s="55">
        <f t="shared" si="35"/>
        <v>1035148934.83023</v>
      </c>
      <c r="AZ444" s="55">
        <f t="shared" si="36"/>
        <v>1072621326.2710843</v>
      </c>
      <c r="BA444" s="55">
        <f t="shared" si="37"/>
        <v>4070841665.2513146</v>
      </c>
      <c r="BB444" s="32"/>
      <c r="BC444" s="32"/>
      <c r="BD444" s="32"/>
      <c r="BE444" s="32"/>
      <c r="BF444" s="32"/>
      <c r="BG444" s="32"/>
      <c r="BH444" s="32"/>
      <c r="BI444" s="32"/>
      <c r="BJ444" s="32"/>
      <c r="BK444" s="32"/>
      <c r="BL444" s="32"/>
      <c r="BM444" s="32"/>
      <c r="BN444" s="32"/>
      <c r="BO444" s="32"/>
      <c r="BP444" s="32"/>
      <c r="BQ444" s="32"/>
      <c r="BR444" s="32"/>
      <c r="BS444" s="32"/>
      <c r="BT444" s="32"/>
      <c r="BU444" s="32"/>
      <c r="BV444" s="32"/>
      <c r="BW444" s="32"/>
      <c r="BX444" s="32"/>
      <c r="BY444" s="32"/>
      <c r="BZ444" s="32"/>
      <c r="CA444" s="32"/>
      <c r="CB444" s="32"/>
      <c r="CC444" s="32"/>
      <c r="CD444" s="32"/>
      <c r="CE444" s="32"/>
      <c r="CF444" s="32"/>
      <c r="CG444" s="32"/>
      <c r="CH444" s="32"/>
      <c r="CI444" s="32"/>
      <c r="CJ444" s="32"/>
      <c r="CK444" s="32"/>
      <c r="CL444" s="32"/>
      <c r="CM444" s="32"/>
      <c r="CN444" s="32"/>
      <c r="CO444" s="32"/>
      <c r="CP444" s="32"/>
      <c r="CQ444" s="32"/>
      <c r="CR444" s="32"/>
      <c r="CS444" s="32"/>
      <c r="CT444" s="32"/>
      <c r="CU444" s="32"/>
      <c r="CV444" s="32"/>
      <c r="CW444" s="32"/>
      <c r="CX444" s="32"/>
      <c r="CY444" s="32"/>
      <c r="CZ444" s="32"/>
      <c r="DA444" s="32"/>
      <c r="DB444" s="32"/>
      <c r="DC444" s="32"/>
      <c r="DD444" s="32"/>
      <c r="DE444" s="32"/>
      <c r="DF444" s="32"/>
      <c r="DG444" s="32"/>
      <c r="DH444" s="32"/>
      <c r="DI444" s="32"/>
      <c r="DJ444" s="32"/>
      <c r="DK444" s="32"/>
      <c r="DL444" s="32"/>
      <c r="DM444" s="32"/>
      <c r="DN444" s="32"/>
      <c r="DO444" s="32"/>
      <c r="DP444" s="32"/>
      <c r="DQ444" s="32"/>
      <c r="DR444" s="32"/>
      <c r="DS444" s="32"/>
      <c r="DT444" s="32"/>
      <c r="DU444" s="32"/>
      <c r="DV444" s="32"/>
      <c r="DW444" s="32"/>
      <c r="DX444" s="32"/>
      <c r="DY444" s="32"/>
      <c r="DZ444" s="32"/>
      <c r="EA444" s="32"/>
      <c r="EB444" s="32"/>
      <c r="EC444" s="32"/>
    </row>
    <row r="445" spans="1:133" s="13" customFormat="1" ht="63" x14ac:dyDescent="0.25">
      <c r="A445" s="105" t="s">
        <v>869</v>
      </c>
      <c r="B445" s="110" t="s">
        <v>870</v>
      </c>
      <c r="C445" s="118" t="s">
        <v>871</v>
      </c>
      <c r="D445" s="118" t="s">
        <v>872</v>
      </c>
      <c r="E445" s="118">
        <v>74.900000000000006</v>
      </c>
      <c r="F445" s="118">
        <v>78</v>
      </c>
      <c r="G445" s="103" t="s">
        <v>885</v>
      </c>
      <c r="H445" s="103" t="s">
        <v>1575</v>
      </c>
      <c r="I445" s="103" t="s">
        <v>886</v>
      </c>
      <c r="J445" s="103" t="s">
        <v>1685</v>
      </c>
      <c r="K445" s="56">
        <v>1</v>
      </c>
      <c r="L445" s="86">
        <v>4</v>
      </c>
      <c r="M445" s="56" t="s">
        <v>228</v>
      </c>
      <c r="N445" s="56" t="s">
        <v>369</v>
      </c>
      <c r="O445" s="54" t="s">
        <v>193</v>
      </c>
      <c r="P445" s="58" t="s">
        <v>42</v>
      </c>
      <c r="Q445" s="54" t="s">
        <v>1679</v>
      </c>
      <c r="R445" s="182">
        <v>4</v>
      </c>
      <c r="S445" s="178">
        <v>4</v>
      </c>
      <c r="T445" s="178">
        <v>4</v>
      </c>
      <c r="U445" s="183">
        <v>4</v>
      </c>
      <c r="V445" s="59">
        <v>100000000</v>
      </c>
      <c r="W445" s="60"/>
      <c r="X445" s="60"/>
      <c r="Y445" s="60"/>
      <c r="Z445" s="60"/>
      <c r="AA445" s="61"/>
      <c r="AB445" s="62">
        <v>100000000</v>
      </c>
      <c r="AC445" s="60"/>
      <c r="AD445" s="60"/>
      <c r="AE445" s="60"/>
      <c r="AF445" s="60"/>
      <c r="AG445" s="60"/>
      <c r="AH445" s="63"/>
      <c r="AI445" s="62">
        <v>100000000</v>
      </c>
      <c r="AJ445" s="60"/>
      <c r="AK445" s="60"/>
      <c r="AL445" s="60"/>
      <c r="AM445" s="60"/>
      <c r="AN445" s="60"/>
      <c r="AO445" s="63"/>
      <c r="AP445" s="62">
        <v>100000000</v>
      </c>
      <c r="AQ445" s="60"/>
      <c r="AR445" s="60"/>
      <c r="AS445" s="60"/>
      <c r="AT445" s="60"/>
      <c r="AU445" s="60"/>
      <c r="AV445" s="64"/>
      <c r="AW445" s="55">
        <f t="shared" si="33"/>
        <v>100000000</v>
      </c>
      <c r="AX445" s="55">
        <f t="shared" si="34"/>
        <v>100000000</v>
      </c>
      <c r="AY445" s="55">
        <f t="shared" si="35"/>
        <v>100000000</v>
      </c>
      <c r="AZ445" s="55">
        <f t="shared" si="36"/>
        <v>100000000</v>
      </c>
      <c r="BA445" s="55">
        <f t="shared" si="37"/>
        <v>400000000</v>
      </c>
      <c r="BB445" s="32"/>
      <c r="BC445" s="32"/>
      <c r="BD445" s="32"/>
      <c r="BE445" s="32"/>
      <c r="BF445" s="32"/>
      <c r="BG445" s="32"/>
      <c r="BH445" s="32"/>
      <c r="BI445" s="32"/>
      <c r="BJ445" s="32"/>
      <c r="BK445" s="32"/>
      <c r="BL445" s="32"/>
      <c r="BM445" s="32"/>
      <c r="BN445" s="32"/>
      <c r="BO445" s="32"/>
      <c r="BP445" s="32"/>
      <c r="BQ445" s="32"/>
      <c r="BR445" s="32"/>
      <c r="BS445" s="32"/>
      <c r="BT445" s="32"/>
      <c r="BU445" s="32"/>
      <c r="BV445" s="32"/>
      <c r="BW445" s="32"/>
      <c r="BX445" s="32"/>
      <c r="BY445" s="32"/>
      <c r="BZ445" s="32"/>
      <c r="CA445" s="32"/>
      <c r="CB445" s="32"/>
      <c r="CC445" s="32"/>
      <c r="CD445" s="32"/>
      <c r="CE445" s="32"/>
      <c r="CF445" s="32"/>
      <c r="CG445" s="32"/>
      <c r="CH445" s="32"/>
      <c r="CI445" s="32"/>
      <c r="CJ445" s="32"/>
      <c r="CK445" s="32"/>
      <c r="CL445" s="32"/>
      <c r="CM445" s="32"/>
      <c r="CN445" s="32"/>
      <c r="CO445" s="32"/>
      <c r="CP445" s="32"/>
      <c r="CQ445" s="32"/>
      <c r="CR445" s="32"/>
      <c r="CS445" s="32"/>
      <c r="CT445" s="32"/>
      <c r="CU445" s="32"/>
      <c r="CV445" s="32"/>
      <c r="CW445" s="32"/>
      <c r="CX445" s="32"/>
      <c r="CY445" s="32"/>
      <c r="CZ445" s="32"/>
      <c r="DA445" s="32"/>
      <c r="DB445" s="32"/>
      <c r="DC445" s="32"/>
      <c r="DD445" s="32"/>
      <c r="DE445" s="32"/>
      <c r="DF445" s="32"/>
      <c r="DG445" s="32"/>
      <c r="DH445" s="32"/>
      <c r="DI445" s="32"/>
      <c r="DJ445" s="32"/>
      <c r="DK445" s="32"/>
      <c r="DL445" s="32"/>
      <c r="DM445" s="32"/>
      <c r="DN445" s="32"/>
      <c r="DO445" s="32"/>
      <c r="DP445" s="32"/>
      <c r="DQ445" s="32"/>
      <c r="DR445" s="32"/>
      <c r="DS445" s="32"/>
      <c r="DT445" s="32"/>
      <c r="DU445" s="32"/>
      <c r="DV445" s="32"/>
      <c r="DW445" s="32"/>
      <c r="DX445" s="32"/>
      <c r="DY445" s="32"/>
      <c r="DZ445" s="32"/>
      <c r="EA445" s="32"/>
      <c r="EB445" s="32"/>
      <c r="EC445" s="32"/>
    </row>
    <row r="446" spans="1:133" s="13" customFormat="1" ht="173.25" x14ac:dyDescent="0.25">
      <c r="A446" s="105" t="s">
        <v>869</v>
      </c>
      <c r="B446" s="110" t="s">
        <v>870</v>
      </c>
      <c r="C446" s="119" t="s">
        <v>887</v>
      </c>
      <c r="D446" s="120" t="s">
        <v>888</v>
      </c>
      <c r="E446" s="120">
        <v>79.599999999999994</v>
      </c>
      <c r="F446" s="120">
        <v>82</v>
      </c>
      <c r="G446" s="110" t="s">
        <v>889</v>
      </c>
      <c r="H446" s="110" t="s">
        <v>1576</v>
      </c>
      <c r="I446" s="103" t="s">
        <v>890</v>
      </c>
      <c r="J446" s="103" t="s">
        <v>1685</v>
      </c>
      <c r="K446" s="56">
        <v>0</v>
      </c>
      <c r="L446" s="86">
        <v>3</v>
      </c>
      <c r="M446" s="56" t="s">
        <v>228</v>
      </c>
      <c r="N446" s="56" t="s">
        <v>369</v>
      </c>
      <c r="O446" s="54" t="s">
        <v>193</v>
      </c>
      <c r="P446" s="58" t="s">
        <v>39</v>
      </c>
      <c r="Q446" s="171" t="s">
        <v>1680</v>
      </c>
      <c r="R446" s="182">
        <v>0</v>
      </c>
      <c r="S446" s="178">
        <v>1</v>
      </c>
      <c r="T446" s="178">
        <v>1</v>
      </c>
      <c r="U446" s="183">
        <v>1</v>
      </c>
      <c r="V446" s="59"/>
      <c r="W446" s="60"/>
      <c r="X446" s="60"/>
      <c r="Y446" s="60"/>
      <c r="Z446" s="60"/>
      <c r="AA446" s="61"/>
      <c r="AB446" s="62">
        <f>5750000000-AB447</f>
        <v>5404614000</v>
      </c>
      <c r="AC446" s="60"/>
      <c r="AD446" s="60"/>
      <c r="AE446" s="60"/>
      <c r="AF446" s="60"/>
      <c r="AG446" s="60"/>
      <c r="AH446" s="63"/>
      <c r="AI446" s="62">
        <f>2000000000-AI447</f>
        <v>1654614000</v>
      </c>
      <c r="AJ446" s="60"/>
      <c r="AK446" s="60"/>
      <c r="AL446" s="60"/>
      <c r="AM446" s="60"/>
      <c r="AN446" s="60"/>
      <c r="AO446" s="63"/>
      <c r="AP446" s="62">
        <f>2000000000-AP447</f>
        <v>1654614000</v>
      </c>
      <c r="AQ446" s="60"/>
      <c r="AR446" s="60"/>
      <c r="AS446" s="60"/>
      <c r="AT446" s="60"/>
      <c r="AU446" s="60"/>
      <c r="AV446" s="64"/>
      <c r="AW446" s="55">
        <f t="shared" si="33"/>
        <v>0</v>
      </c>
      <c r="AX446" s="55">
        <f t="shared" si="34"/>
        <v>5404614000</v>
      </c>
      <c r="AY446" s="55">
        <f t="shared" si="35"/>
        <v>1654614000</v>
      </c>
      <c r="AZ446" s="55">
        <f t="shared" si="36"/>
        <v>1654614000</v>
      </c>
      <c r="BA446" s="55">
        <f t="shared" si="37"/>
        <v>8713842000</v>
      </c>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row>
    <row r="447" spans="1:133" s="13" customFormat="1" ht="94.5" x14ac:dyDescent="0.25">
      <c r="A447" s="105" t="s">
        <v>869</v>
      </c>
      <c r="B447" s="110" t="s">
        <v>870</v>
      </c>
      <c r="C447" s="119" t="s">
        <v>887</v>
      </c>
      <c r="D447" s="120" t="s">
        <v>888</v>
      </c>
      <c r="E447" s="120">
        <v>79.599999999999994</v>
      </c>
      <c r="F447" s="120">
        <v>82</v>
      </c>
      <c r="G447" s="110" t="s">
        <v>889</v>
      </c>
      <c r="H447" s="110" t="s">
        <v>1577</v>
      </c>
      <c r="I447" s="103" t="s">
        <v>891</v>
      </c>
      <c r="J447" s="103" t="s">
        <v>1682</v>
      </c>
      <c r="K447" s="178">
        <v>100</v>
      </c>
      <c r="L447" s="179">
        <v>100</v>
      </c>
      <c r="M447" s="56" t="s">
        <v>228</v>
      </c>
      <c r="N447" s="56" t="s">
        <v>369</v>
      </c>
      <c r="O447" s="54" t="s">
        <v>193</v>
      </c>
      <c r="P447" s="58" t="s">
        <v>42</v>
      </c>
      <c r="Q447" s="54" t="s">
        <v>1679</v>
      </c>
      <c r="R447" s="182">
        <v>100</v>
      </c>
      <c r="S447" s="178">
        <v>100</v>
      </c>
      <c r="T447" s="178">
        <v>100</v>
      </c>
      <c r="U447" s="183">
        <v>100</v>
      </c>
      <c r="V447" s="59">
        <v>25000000</v>
      </c>
      <c r="W447" s="60"/>
      <c r="X447" s="60"/>
      <c r="Y447" s="60"/>
      <c r="Z447" s="60"/>
      <c r="AA447" s="61"/>
      <c r="AB447" s="62">
        <v>345386000</v>
      </c>
      <c r="AC447" s="60"/>
      <c r="AD447" s="60"/>
      <c r="AE447" s="60"/>
      <c r="AF447" s="60"/>
      <c r="AG447" s="60"/>
      <c r="AH447" s="63"/>
      <c r="AI447" s="62">
        <v>345386000</v>
      </c>
      <c r="AJ447" s="60"/>
      <c r="AK447" s="60"/>
      <c r="AL447" s="60"/>
      <c r="AM447" s="60"/>
      <c r="AN447" s="60"/>
      <c r="AO447" s="63"/>
      <c r="AP447" s="62">
        <v>345386000</v>
      </c>
      <c r="AQ447" s="60"/>
      <c r="AR447" s="60"/>
      <c r="AS447" s="60"/>
      <c r="AT447" s="60"/>
      <c r="AU447" s="60"/>
      <c r="AV447" s="64"/>
      <c r="AW447" s="55">
        <f t="shared" si="33"/>
        <v>25000000</v>
      </c>
      <c r="AX447" s="55">
        <f t="shared" si="34"/>
        <v>345386000</v>
      </c>
      <c r="AY447" s="55">
        <f t="shared" si="35"/>
        <v>345386000</v>
      </c>
      <c r="AZ447" s="55">
        <f t="shared" si="36"/>
        <v>345386000</v>
      </c>
      <c r="BA447" s="55">
        <f t="shared" si="37"/>
        <v>1061158000</v>
      </c>
      <c r="BB447" s="32"/>
      <c r="BC447" s="32"/>
      <c r="BD447" s="32"/>
      <c r="BE447" s="32"/>
      <c r="BF447" s="32"/>
      <c r="BG447" s="32"/>
      <c r="BH447" s="32"/>
      <c r="BI447" s="32"/>
      <c r="BJ447" s="32"/>
      <c r="BK447" s="32"/>
      <c r="BL447" s="32"/>
      <c r="BM447" s="32"/>
      <c r="BN447" s="32"/>
      <c r="BO447" s="32"/>
      <c r="BP447" s="32"/>
      <c r="BQ447" s="32"/>
      <c r="BR447" s="32"/>
      <c r="BS447" s="32"/>
      <c r="BT447" s="32"/>
      <c r="BU447" s="32"/>
      <c r="BV447" s="32"/>
      <c r="BW447" s="32"/>
      <c r="BX447" s="32"/>
      <c r="BY447" s="32"/>
      <c r="BZ447" s="32"/>
      <c r="CA447" s="32"/>
      <c r="CB447" s="32"/>
      <c r="CC447" s="32"/>
      <c r="CD447" s="32"/>
      <c r="CE447" s="32"/>
      <c r="CF447" s="32"/>
      <c r="CG447" s="32"/>
      <c r="CH447" s="32"/>
      <c r="CI447" s="32"/>
      <c r="CJ447" s="32"/>
      <c r="CK447" s="32"/>
      <c r="CL447" s="32"/>
      <c r="CM447" s="32"/>
      <c r="CN447" s="32"/>
      <c r="CO447" s="32"/>
      <c r="CP447" s="32"/>
      <c r="CQ447" s="32"/>
      <c r="CR447" s="32"/>
      <c r="CS447" s="32"/>
      <c r="CT447" s="32"/>
      <c r="CU447" s="32"/>
      <c r="CV447" s="32"/>
      <c r="CW447" s="32"/>
      <c r="CX447" s="32"/>
      <c r="CY447" s="32"/>
      <c r="CZ447" s="32"/>
      <c r="DA447" s="32"/>
      <c r="DB447" s="32"/>
      <c r="DC447" s="32"/>
      <c r="DD447" s="32"/>
      <c r="DE447" s="32"/>
      <c r="DF447" s="32"/>
      <c r="DG447" s="32"/>
      <c r="DH447" s="32"/>
      <c r="DI447" s="32"/>
      <c r="DJ447" s="32"/>
      <c r="DK447" s="32"/>
      <c r="DL447" s="32"/>
      <c r="DM447" s="32"/>
      <c r="DN447" s="32"/>
      <c r="DO447" s="32"/>
      <c r="DP447" s="32"/>
      <c r="DQ447" s="32"/>
      <c r="DR447" s="32"/>
      <c r="DS447" s="32"/>
      <c r="DT447" s="32"/>
      <c r="DU447" s="32"/>
      <c r="DV447" s="32"/>
      <c r="DW447" s="32"/>
      <c r="DX447" s="32"/>
      <c r="DY447" s="32"/>
      <c r="DZ447" s="32"/>
      <c r="EA447" s="32"/>
      <c r="EB447" s="32"/>
      <c r="EC447" s="32"/>
    </row>
    <row r="448" spans="1:133" s="13" customFormat="1" ht="94.5" x14ac:dyDescent="0.25">
      <c r="A448" s="105" t="s">
        <v>869</v>
      </c>
      <c r="B448" s="110" t="s">
        <v>870</v>
      </c>
      <c r="C448" s="119" t="s">
        <v>887</v>
      </c>
      <c r="D448" s="120" t="s">
        <v>888</v>
      </c>
      <c r="E448" s="120">
        <v>79.599999999999994</v>
      </c>
      <c r="F448" s="120">
        <v>82</v>
      </c>
      <c r="G448" s="102" t="s">
        <v>893</v>
      </c>
      <c r="H448" s="102" t="s">
        <v>1578</v>
      </c>
      <c r="I448" s="103" t="s">
        <v>894</v>
      </c>
      <c r="J448" s="103" t="s">
        <v>1682</v>
      </c>
      <c r="K448" s="178">
        <v>0</v>
      </c>
      <c r="L448" s="179">
        <v>100</v>
      </c>
      <c r="M448" s="56" t="s">
        <v>1142</v>
      </c>
      <c r="N448" s="56" t="s">
        <v>369</v>
      </c>
      <c r="O448" s="54" t="s">
        <v>193</v>
      </c>
      <c r="P448" s="58" t="s">
        <v>39</v>
      </c>
      <c r="Q448" s="171" t="s">
        <v>1680</v>
      </c>
      <c r="R448" s="182">
        <v>0</v>
      </c>
      <c r="S448" s="178">
        <v>35</v>
      </c>
      <c r="T448" s="178">
        <v>35</v>
      </c>
      <c r="U448" s="183">
        <v>30</v>
      </c>
      <c r="V448" s="59"/>
      <c r="W448" s="60"/>
      <c r="X448" s="60"/>
      <c r="Y448" s="60"/>
      <c r="Z448" s="60"/>
      <c r="AA448" s="61"/>
      <c r="AB448" s="62">
        <f>422400000+140800000</f>
        <v>563200000</v>
      </c>
      <c r="AC448" s="60"/>
      <c r="AD448" s="60"/>
      <c r="AE448" s="60"/>
      <c r="AF448" s="60"/>
      <c r="AG448" s="60"/>
      <c r="AH448" s="63"/>
      <c r="AI448" s="62">
        <f>140800000+422400000</f>
        <v>563200000</v>
      </c>
      <c r="AJ448" s="60"/>
      <c r="AK448" s="60"/>
      <c r="AL448" s="60"/>
      <c r="AM448" s="60"/>
      <c r="AN448" s="60"/>
      <c r="AO448" s="63"/>
      <c r="AP448" s="62">
        <f>422400000+140800000</f>
        <v>563200000</v>
      </c>
      <c r="AQ448" s="60"/>
      <c r="AR448" s="60"/>
      <c r="AS448" s="60"/>
      <c r="AT448" s="60"/>
      <c r="AU448" s="60"/>
      <c r="AV448" s="64"/>
      <c r="AW448" s="55">
        <f t="shared" si="33"/>
        <v>0</v>
      </c>
      <c r="AX448" s="55">
        <f t="shared" si="34"/>
        <v>563200000</v>
      </c>
      <c r="AY448" s="55">
        <f t="shared" si="35"/>
        <v>563200000</v>
      </c>
      <c r="AZ448" s="55">
        <f t="shared" si="36"/>
        <v>563200000</v>
      </c>
      <c r="BA448" s="55">
        <f t="shared" si="37"/>
        <v>1689600000</v>
      </c>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c r="CP448" s="4"/>
      <c r="CQ448" s="4"/>
      <c r="CR448" s="4"/>
      <c r="CS448" s="4"/>
      <c r="CT448" s="4"/>
      <c r="CU448" s="4"/>
      <c r="CV448" s="4"/>
      <c r="CW448" s="4"/>
      <c r="CX448" s="4"/>
      <c r="CY448" s="4"/>
      <c r="CZ448" s="4"/>
      <c r="DA448" s="4"/>
      <c r="DB448" s="4"/>
      <c r="DC448" s="4"/>
      <c r="DD448" s="4"/>
      <c r="DE448" s="4"/>
      <c r="DF448" s="4"/>
      <c r="DG448" s="4"/>
      <c r="DH448" s="4"/>
      <c r="DI448" s="4"/>
      <c r="DJ448" s="4"/>
      <c r="DK448" s="4"/>
      <c r="DL448" s="4"/>
      <c r="DM448" s="4"/>
      <c r="DN448" s="4"/>
      <c r="DO448" s="4"/>
      <c r="DP448" s="4"/>
      <c r="DQ448" s="4"/>
      <c r="DR448" s="4"/>
      <c r="DS448" s="4"/>
      <c r="DT448" s="4"/>
      <c r="DU448" s="4"/>
      <c r="DV448" s="4"/>
      <c r="DW448" s="4"/>
      <c r="DX448" s="4"/>
      <c r="DY448" s="4"/>
      <c r="DZ448" s="4"/>
      <c r="EA448" s="4"/>
      <c r="EB448" s="4"/>
      <c r="EC448" s="4"/>
    </row>
    <row r="449" spans="1:133" s="13" customFormat="1" ht="63" x14ac:dyDescent="0.25">
      <c r="A449" s="105" t="s">
        <v>869</v>
      </c>
      <c r="B449" s="110" t="s">
        <v>870</v>
      </c>
      <c r="C449" s="119" t="s">
        <v>887</v>
      </c>
      <c r="D449" s="120" t="s">
        <v>888</v>
      </c>
      <c r="E449" s="120">
        <v>79.599999999999994</v>
      </c>
      <c r="F449" s="120">
        <v>82</v>
      </c>
      <c r="G449" s="110" t="s">
        <v>895</v>
      </c>
      <c r="H449" s="110" t="s">
        <v>1579</v>
      </c>
      <c r="I449" s="103" t="s">
        <v>896</v>
      </c>
      <c r="J449" s="103" t="s">
        <v>1683</v>
      </c>
      <c r="K449" s="56">
        <v>42</v>
      </c>
      <c r="L449" s="86">
        <v>76</v>
      </c>
      <c r="M449" s="56" t="s">
        <v>1142</v>
      </c>
      <c r="N449" s="56" t="s">
        <v>369</v>
      </c>
      <c r="O449" s="54" t="s">
        <v>193</v>
      </c>
      <c r="P449" s="58" t="s">
        <v>1677</v>
      </c>
      <c r="Q449" s="171" t="s">
        <v>1680</v>
      </c>
      <c r="R449" s="182">
        <v>4</v>
      </c>
      <c r="S449" s="178">
        <v>12</v>
      </c>
      <c r="T449" s="178">
        <v>12</v>
      </c>
      <c r="U449" s="183">
        <v>6</v>
      </c>
      <c r="V449" s="59">
        <v>2400000000</v>
      </c>
      <c r="W449" s="60"/>
      <c r="X449" s="60"/>
      <c r="Y449" s="60"/>
      <c r="Z449" s="60"/>
      <c r="AA449" s="61"/>
      <c r="AB449" s="62">
        <v>166999800</v>
      </c>
      <c r="AC449" s="60"/>
      <c r="AD449" s="60"/>
      <c r="AE449" s="60"/>
      <c r="AF449" s="60"/>
      <c r="AG449" s="60"/>
      <c r="AH449" s="63"/>
      <c r="AI449" s="62">
        <v>167000400</v>
      </c>
      <c r="AJ449" s="60"/>
      <c r="AK449" s="60"/>
      <c r="AL449" s="60"/>
      <c r="AM449" s="60"/>
      <c r="AN449" s="60"/>
      <c r="AO449" s="63"/>
      <c r="AP449" s="62">
        <v>167000400</v>
      </c>
      <c r="AQ449" s="60"/>
      <c r="AR449" s="60"/>
      <c r="AS449" s="60"/>
      <c r="AT449" s="60"/>
      <c r="AU449" s="60"/>
      <c r="AV449" s="64"/>
      <c r="AW449" s="55">
        <f t="shared" si="33"/>
        <v>2400000000</v>
      </c>
      <c r="AX449" s="55">
        <f t="shared" si="34"/>
        <v>166999800</v>
      </c>
      <c r="AY449" s="55">
        <f t="shared" si="35"/>
        <v>167000400</v>
      </c>
      <c r="AZ449" s="55">
        <f t="shared" si="36"/>
        <v>167000400</v>
      </c>
      <c r="BA449" s="55">
        <f t="shared" si="37"/>
        <v>2901000600</v>
      </c>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c r="CP449" s="4"/>
      <c r="CQ449" s="4"/>
      <c r="CR449" s="4"/>
      <c r="CS449" s="4"/>
      <c r="CT449" s="4"/>
      <c r="CU449" s="4"/>
      <c r="CV449" s="4"/>
      <c r="CW449" s="4"/>
      <c r="CX449" s="4"/>
      <c r="CY449" s="4"/>
      <c r="CZ449" s="4"/>
      <c r="DA449" s="4"/>
      <c r="DB449" s="4"/>
      <c r="DC449" s="4"/>
      <c r="DD449" s="4"/>
      <c r="DE449" s="4"/>
      <c r="DF449" s="4"/>
      <c r="DG449" s="4"/>
      <c r="DH449" s="4"/>
      <c r="DI449" s="4"/>
      <c r="DJ449" s="4"/>
      <c r="DK449" s="4"/>
      <c r="DL449" s="4"/>
      <c r="DM449" s="4"/>
      <c r="DN449" s="4"/>
      <c r="DO449" s="4"/>
      <c r="DP449" s="4"/>
      <c r="DQ449" s="4"/>
      <c r="DR449" s="4"/>
      <c r="DS449" s="4"/>
      <c r="DT449" s="4"/>
      <c r="DU449" s="4"/>
      <c r="DV449" s="4"/>
      <c r="DW449" s="4"/>
      <c r="DX449" s="4"/>
      <c r="DY449" s="4"/>
      <c r="DZ449" s="4"/>
      <c r="EA449" s="4"/>
      <c r="EB449" s="4"/>
      <c r="EC449" s="4"/>
    </row>
    <row r="450" spans="1:133" s="13" customFormat="1" ht="63" x14ac:dyDescent="0.25">
      <c r="A450" s="105" t="s">
        <v>869</v>
      </c>
      <c r="B450" s="110" t="s">
        <v>870</v>
      </c>
      <c r="C450" s="119" t="s">
        <v>887</v>
      </c>
      <c r="D450" s="120" t="s">
        <v>888</v>
      </c>
      <c r="E450" s="120">
        <v>79.599999999999994</v>
      </c>
      <c r="F450" s="120">
        <v>82</v>
      </c>
      <c r="G450" s="110" t="s">
        <v>895</v>
      </c>
      <c r="H450" s="110" t="s">
        <v>1580</v>
      </c>
      <c r="I450" s="103" t="s">
        <v>897</v>
      </c>
      <c r="J450" s="103" t="s">
        <v>1683</v>
      </c>
      <c r="K450" s="56">
        <v>0</v>
      </c>
      <c r="L450" s="86">
        <v>10</v>
      </c>
      <c r="M450" s="56" t="s">
        <v>1142</v>
      </c>
      <c r="N450" s="56" t="s">
        <v>369</v>
      </c>
      <c r="O450" s="54" t="s">
        <v>193</v>
      </c>
      <c r="P450" s="58" t="s">
        <v>39</v>
      </c>
      <c r="Q450" s="171" t="s">
        <v>1680</v>
      </c>
      <c r="R450" s="182">
        <v>0</v>
      </c>
      <c r="S450" s="178">
        <v>3</v>
      </c>
      <c r="T450" s="178">
        <v>4</v>
      </c>
      <c r="U450" s="183">
        <v>3</v>
      </c>
      <c r="V450" s="59"/>
      <c r="W450" s="60"/>
      <c r="X450" s="60"/>
      <c r="Y450" s="60"/>
      <c r="Z450" s="60"/>
      <c r="AA450" s="61"/>
      <c r="AB450" s="62">
        <f>222666400+1600000000</f>
        <v>1822666400</v>
      </c>
      <c r="AC450" s="60"/>
      <c r="AD450" s="60"/>
      <c r="AE450" s="60"/>
      <c r="AF450" s="60"/>
      <c r="AG450" s="60"/>
      <c r="AH450" s="63"/>
      <c r="AI450" s="62">
        <f>222667200+1600000000</f>
        <v>1822667200</v>
      </c>
      <c r="AJ450" s="60"/>
      <c r="AK450" s="60"/>
      <c r="AL450" s="60"/>
      <c r="AM450" s="60"/>
      <c r="AN450" s="60"/>
      <c r="AO450" s="63"/>
      <c r="AP450" s="62">
        <v>3473167500</v>
      </c>
      <c r="AQ450" s="60"/>
      <c r="AR450" s="60"/>
      <c r="AS450" s="60"/>
      <c r="AT450" s="60"/>
      <c r="AU450" s="60"/>
      <c r="AV450" s="64"/>
      <c r="AW450" s="55">
        <f t="shared" si="33"/>
        <v>0</v>
      </c>
      <c r="AX450" s="55">
        <f t="shared" si="34"/>
        <v>1822666400</v>
      </c>
      <c r="AY450" s="55">
        <f t="shared" si="35"/>
        <v>1822667200</v>
      </c>
      <c r="AZ450" s="55">
        <f t="shared" si="36"/>
        <v>3473167500</v>
      </c>
      <c r="BA450" s="55">
        <f t="shared" si="37"/>
        <v>7118501100</v>
      </c>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row>
    <row r="451" spans="1:133" s="13" customFormat="1" ht="110.25" x14ac:dyDescent="0.25">
      <c r="A451" s="105" t="s">
        <v>869</v>
      </c>
      <c r="B451" s="110" t="s">
        <v>870</v>
      </c>
      <c r="C451" s="119" t="s">
        <v>887</v>
      </c>
      <c r="D451" s="120" t="s">
        <v>888</v>
      </c>
      <c r="E451" s="120">
        <v>79.599999999999994</v>
      </c>
      <c r="F451" s="120">
        <v>82</v>
      </c>
      <c r="G451" s="110" t="s">
        <v>895</v>
      </c>
      <c r="H451" s="110" t="s">
        <v>1581</v>
      </c>
      <c r="I451" s="103" t="s">
        <v>898</v>
      </c>
      <c r="J451" s="103" t="s">
        <v>1683</v>
      </c>
      <c r="K451" s="56">
        <v>0</v>
      </c>
      <c r="L451" s="86">
        <v>2</v>
      </c>
      <c r="M451" s="56" t="s">
        <v>1142</v>
      </c>
      <c r="N451" s="56" t="s">
        <v>369</v>
      </c>
      <c r="O451" s="54" t="s">
        <v>193</v>
      </c>
      <c r="P451" s="58" t="s">
        <v>39</v>
      </c>
      <c r="Q451" s="171" t="s">
        <v>1680</v>
      </c>
      <c r="R451" s="182">
        <v>0</v>
      </c>
      <c r="S451" s="178">
        <v>1</v>
      </c>
      <c r="T451" s="178">
        <v>1</v>
      </c>
      <c r="U451" s="183">
        <v>0</v>
      </c>
      <c r="V451" s="59"/>
      <c r="W451" s="60"/>
      <c r="X451" s="60"/>
      <c r="Y451" s="60"/>
      <c r="Z451" s="60"/>
      <c r="AA451" s="61"/>
      <c r="AB451" s="62">
        <f>166999800+2483499900</f>
        <v>2650499700</v>
      </c>
      <c r="AC451" s="60"/>
      <c r="AD451" s="60"/>
      <c r="AE451" s="60"/>
      <c r="AF451" s="60"/>
      <c r="AG451" s="60"/>
      <c r="AH451" s="63"/>
      <c r="AI451" s="62">
        <f>167000400+2483499900</f>
        <v>2650500300</v>
      </c>
      <c r="AJ451" s="60"/>
      <c r="AK451" s="60"/>
      <c r="AL451" s="60"/>
      <c r="AM451" s="60"/>
      <c r="AN451" s="60"/>
      <c r="AO451" s="63"/>
      <c r="AP451" s="62"/>
      <c r="AQ451" s="60"/>
      <c r="AR451" s="60"/>
      <c r="AS451" s="60"/>
      <c r="AT451" s="60"/>
      <c r="AU451" s="60"/>
      <c r="AV451" s="64"/>
      <c r="AW451" s="55">
        <f t="shared" si="33"/>
        <v>0</v>
      </c>
      <c r="AX451" s="55">
        <f t="shared" si="34"/>
        <v>2650499700</v>
      </c>
      <c r="AY451" s="55">
        <f t="shared" si="35"/>
        <v>2650500300</v>
      </c>
      <c r="AZ451" s="55">
        <f t="shared" si="36"/>
        <v>0</v>
      </c>
      <c r="BA451" s="55">
        <f t="shared" si="37"/>
        <v>5301000000</v>
      </c>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c r="CQ451" s="4"/>
      <c r="CR451" s="4"/>
      <c r="CS451" s="4"/>
      <c r="CT451" s="4"/>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row>
    <row r="452" spans="1:133" s="13" customFormat="1" ht="63" x14ac:dyDescent="0.25">
      <c r="A452" s="105" t="s">
        <v>869</v>
      </c>
      <c r="B452" s="110" t="s">
        <v>870</v>
      </c>
      <c r="C452" s="119" t="s">
        <v>887</v>
      </c>
      <c r="D452" s="120" t="s">
        <v>888</v>
      </c>
      <c r="E452" s="120">
        <v>79.599999999999994</v>
      </c>
      <c r="F452" s="120">
        <v>82</v>
      </c>
      <c r="G452" s="103" t="s">
        <v>899</v>
      </c>
      <c r="H452" s="103" t="s">
        <v>1582</v>
      </c>
      <c r="I452" s="103" t="s">
        <v>900</v>
      </c>
      <c r="J452" s="103" t="s">
        <v>1683</v>
      </c>
      <c r="K452" s="56">
        <v>1</v>
      </c>
      <c r="L452" s="86">
        <v>2</v>
      </c>
      <c r="M452" s="56" t="s">
        <v>333</v>
      </c>
      <c r="N452" s="56" t="s">
        <v>164</v>
      </c>
      <c r="O452" s="54" t="s">
        <v>540</v>
      </c>
      <c r="P452" s="58" t="s">
        <v>39</v>
      </c>
      <c r="Q452" s="171" t="s">
        <v>1680</v>
      </c>
      <c r="R452" s="182">
        <v>0</v>
      </c>
      <c r="S452" s="178">
        <v>0</v>
      </c>
      <c r="T452" s="178">
        <v>1</v>
      </c>
      <c r="U452" s="183">
        <v>1</v>
      </c>
      <c r="V452" s="59"/>
      <c r="W452" s="60"/>
      <c r="X452" s="60"/>
      <c r="Y452" s="60"/>
      <c r="Z452" s="60"/>
      <c r="AA452" s="61"/>
      <c r="AB452" s="62"/>
      <c r="AC452" s="60"/>
      <c r="AD452" s="60"/>
      <c r="AE452" s="60"/>
      <c r="AF452" s="60"/>
      <c r="AG452" s="60"/>
      <c r="AH452" s="63"/>
      <c r="AI452" s="62">
        <v>100000000</v>
      </c>
      <c r="AJ452" s="60"/>
      <c r="AK452" s="60"/>
      <c r="AL452" s="60"/>
      <c r="AM452" s="60"/>
      <c r="AN452" s="60"/>
      <c r="AO452" s="63"/>
      <c r="AP452" s="62">
        <v>100000000</v>
      </c>
      <c r="AQ452" s="60"/>
      <c r="AR452" s="60"/>
      <c r="AS452" s="60"/>
      <c r="AT452" s="60"/>
      <c r="AU452" s="60"/>
      <c r="AV452" s="64"/>
      <c r="AW452" s="55">
        <f t="shared" ref="AW452:AW515" si="41">SUM(V452:AA452)</f>
        <v>0</v>
      </c>
      <c r="AX452" s="55">
        <f t="shared" ref="AX452:AX515" si="42">SUM(AB452:AH452)</f>
        <v>0</v>
      </c>
      <c r="AY452" s="55">
        <f t="shared" ref="AY452:AY515" si="43">SUM(AI452:AO452)</f>
        <v>100000000</v>
      </c>
      <c r="AZ452" s="55">
        <f t="shared" ref="AZ452:AZ515" si="44">SUM(AP452:AV452)</f>
        <v>100000000</v>
      </c>
      <c r="BA452" s="55">
        <f t="shared" ref="BA452:BA515" si="45">SUM(AW452:AZ452)</f>
        <v>200000000</v>
      </c>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row>
    <row r="453" spans="1:133" s="13" customFormat="1" ht="110.25" x14ac:dyDescent="0.25">
      <c r="A453" s="105" t="s">
        <v>869</v>
      </c>
      <c r="B453" s="110" t="s">
        <v>870</v>
      </c>
      <c r="C453" s="119" t="s">
        <v>887</v>
      </c>
      <c r="D453" s="120" t="s">
        <v>888</v>
      </c>
      <c r="E453" s="120">
        <v>79.599999999999994</v>
      </c>
      <c r="F453" s="120">
        <v>82</v>
      </c>
      <c r="G453" s="103" t="s">
        <v>901</v>
      </c>
      <c r="H453" s="103" t="s">
        <v>1583</v>
      </c>
      <c r="I453" s="103" t="s">
        <v>902</v>
      </c>
      <c r="J453" s="103" t="s">
        <v>1682</v>
      </c>
      <c r="K453" s="178">
        <v>0</v>
      </c>
      <c r="L453" s="179">
        <v>100</v>
      </c>
      <c r="M453" s="56" t="s">
        <v>1142</v>
      </c>
      <c r="N453" s="56" t="s">
        <v>369</v>
      </c>
      <c r="O453" s="54" t="s">
        <v>540</v>
      </c>
      <c r="P453" s="58" t="s">
        <v>39</v>
      </c>
      <c r="Q453" s="171" t="s">
        <v>1680</v>
      </c>
      <c r="R453" s="182">
        <v>0</v>
      </c>
      <c r="S453" s="178">
        <v>50</v>
      </c>
      <c r="T453" s="178">
        <v>50</v>
      </c>
      <c r="U453" s="183">
        <v>0</v>
      </c>
      <c r="V453" s="59"/>
      <c r="W453" s="60"/>
      <c r="X453" s="60"/>
      <c r="Y453" s="60"/>
      <c r="Z453" s="60"/>
      <c r="AA453" s="61"/>
      <c r="AB453" s="62">
        <f>2250000000+2250000000</f>
        <v>4500000000</v>
      </c>
      <c r="AC453" s="60"/>
      <c r="AD453" s="60"/>
      <c r="AE453" s="60"/>
      <c r="AF453" s="60"/>
      <c r="AG453" s="60"/>
      <c r="AH453" s="63"/>
      <c r="AI453" s="62">
        <f>2250000000+2250000000</f>
        <v>4500000000</v>
      </c>
      <c r="AJ453" s="60"/>
      <c r="AK453" s="60"/>
      <c r="AL453" s="60"/>
      <c r="AM453" s="60"/>
      <c r="AN453" s="60"/>
      <c r="AO453" s="63"/>
      <c r="AP453" s="62"/>
      <c r="AQ453" s="60"/>
      <c r="AR453" s="60"/>
      <c r="AS453" s="60"/>
      <c r="AT453" s="60"/>
      <c r="AU453" s="60"/>
      <c r="AV453" s="64"/>
      <c r="AW453" s="55">
        <f t="shared" si="41"/>
        <v>0</v>
      </c>
      <c r="AX453" s="55">
        <f t="shared" si="42"/>
        <v>4500000000</v>
      </c>
      <c r="AY453" s="55">
        <f t="shared" si="43"/>
        <v>4500000000</v>
      </c>
      <c r="AZ453" s="55">
        <f t="shared" si="44"/>
        <v>0</v>
      </c>
      <c r="BA453" s="55">
        <f t="shared" si="45"/>
        <v>9000000000</v>
      </c>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c r="CP453" s="4"/>
      <c r="CQ453" s="4"/>
      <c r="CR453" s="4"/>
      <c r="CS453" s="4"/>
      <c r="CT453" s="4"/>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row>
    <row r="454" spans="1:133" s="13" customFormat="1" ht="94.5" x14ac:dyDescent="0.25">
      <c r="A454" s="105" t="s">
        <v>869</v>
      </c>
      <c r="B454" s="110" t="s">
        <v>870</v>
      </c>
      <c r="C454" s="118" t="s">
        <v>903</v>
      </c>
      <c r="D454" s="110" t="s">
        <v>904</v>
      </c>
      <c r="E454" s="110">
        <v>4.3</v>
      </c>
      <c r="F454" s="110">
        <v>4.3</v>
      </c>
      <c r="G454" s="103" t="s">
        <v>905</v>
      </c>
      <c r="H454" s="103" t="s">
        <v>1584</v>
      </c>
      <c r="I454" s="103" t="s">
        <v>906</v>
      </c>
      <c r="J454" s="103" t="s">
        <v>1682</v>
      </c>
      <c r="K454" s="178">
        <v>0</v>
      </c>
      <c r="L454" s="179">
        <v>100</v>
      </c>
      <c r="M454" s="98" t="s">
        <v>337</v>
      </c>
      <c r="N454" s="56" t="s">
        <v>369</v>
      </c>
      <c r="O454" s="54" t="s">
        <v>908</v>
      </c>
      <c r="P454" s="58" t="s">
        <v>39</v>
      </c>
      <c r="Q454" s="171" t="s">
        <v>1680</v>
      </c>
      <c r="R454" s="182">
        <v>0</v>
      </c>
      <c r="S454" s="178">
        <v>30</v>
      </c>
      <c r="T454" s="178">
        <v>70</v>
      </c>
      <c r="U454" s="183">
        <v>0</v>
      </c>
      <c r="V454" s="59"/>
      <c r="W454" s="60"/>
      <c r="X454" s="60"/>
      <c r="Y454" s="60"/>
      <c r="Z454" s="60"/>
      <c r="AA454" s="61"/>
      <c r="AB454" s="62">
        <v>299000000</v>
      </c>
      <c r="AC454" s="60"/>
      <c r="AD454" s="60"/>
      <c r="AE454" s="60"/>
      <c r="AF454" s="60"/>
      <c r="AG454" s="60"/>
      <c r="AH454" s="63"/>
      <c r="AI454" s="62">
        <v>314000000</v>
      </c>
      <c r="AJ454" s="60"/>
      <c r="AK454" s="60"/>
      <c r="AL454" s="60"/>
      <c r="AM454" s="60"/>
      <c r="AN454" s="60"/>
      <c r="AO454" s="63"/>
      <c r="AP454" s="62"/>
      <c r="AQ454" s="60"/>
      <c r="AR454" s="60"/>
      <c r="AS454" s="60"/>
      <c r="AT454" s="60"/>
      <c r="AU454" s="60"/>
      <c r="AV454" s="64"/>
      <c r="AW454" s="55">
        <f t="shared" si="41"/>
        <v>0</v>
      </c>
      <c r="AX454" s="55">
        <f t="shared" si="42"/>
        <v>299000000</v>
      </c>
      <c r="AY454" s="55">
        <f t="shared" si="43"/>
        <v>314000000</v>
      </c>
      <c r="AZ454" s="55">
        <f t="shared" si="44"/>
        <v>0</v>
      </c>
      <c r="BA454" s="55">
        <f t="shared" si="45"/>
        <v>613000000</v>
      </c>
      <c r="BB454" s="32"/>
      <c r="BC454" s="32"/>
      <c r="BD454" s="32"/>
      <c r="BE454" s="32"/>
      <c r="BF454" s="32"/>
      <c r="BG454" s="32"/>
      <c r="BH454" s="32"/>
      <c r="BI454" s="32"/>
      <c r="BJ454" s="32"/>
      <c r="BK454" s="32"/>
      <c r="BL454" s="32"/>
      <c r="BM454" s="32"/>
      <c r="BN454" s="32"/>
      <c r="BO454" s="32"/>
      <c r="BP454" s="32"/>
      <c r="BQ454" s="32"/>
      <c r="BR454" s="32"/>
      <c r="BS454" s="32"/>
      <c r="BT454" s="32"/>
      <c r="BU454" s="32"/>
      <c r="BV454" s="32"/>
      <c r="BW454" s="32"/>
      <c r="BX454" s="32"/>
      <c r="BY454" s="32"/>
      <c r="BZ454" s="32"/>
      <c r="CA454" s="32"/>
      <c r="CB454" s="32"/>
      <c r="CC454" s="32"/>
      <c r="CD454" s="32"/>
      <c r="CE454" s="32"/>
      <c r="CF454" s="32"/>
      <c r="CG454" s="32"/>
      <c r="CH454" s="32"/>
      <c r="CI454" s="32"/>
      <c r="CJ454" s="32"/>
      <c r="CK454" s="32"/>
      <c r="CL454" s="32"/>
      <c r="CM454" s="32"/>
      <c r="CN454" s="32"/>
      <c r="CO454" s="32"/>
      <c r="CP454" s="32"/>
      <c r="CQ454" s="32"/>
      <c r="CR454" s="32"/>
      <c r="CS454" s="32"/>
      <c r="CT454" s="32"/>
      <c r="CU454" s="32"/>
      <c r="CV454" s="32"/>
      <c r="CW454" s="32"/>
      <c r="CX454" s="32"/>
      <c r="CY454" s="32"/>
      <c r="CZ454" s="32"/>
      <c r="DA454" s="32"/>
      <c r="DB454" s="32"/>
      <c r="DC454" s="32"/>
      <c r="DD454" s="32"/>
      <c r="DE454" s="32"/>
      <c r="DF454" s="32"/>
      <c r="DG454" s="32"/>
      <c r="DH454" s="32"/>
      <c r="DI454" s="32"/>
      <c r="DJ454" s="32"/>
      <c r="DK454" s="32"/>
      <c r="DL454" s="32"/>
      <c r="DM454" s="32"/>
      <c r="DN454" s="32"/>
      <c r="DO454" s="32"/>
      <c r="DP454" s="32"/>
      <c r="DQ454" s="32"/>
      <c r="DR454" s="32"/>
      <c r="DS454" s="32"/>
      <c r="DT454" s="32"/>
      <c r="DU454" s="32"/>
      <c r="DV454" s="32"/>
      <c r="DW454" s="32"/>
      <c r="DX454" s="32"/>
      <c r="DY454" s="32"/>
      <c r="DZ454" s="32"/>
      <c r="EA454" s="32"/>
      <c r="EB454" s="32"/>
      <c r="EC454" s="32"/>
    </row>
    <row r="455" spans="1:133" s="13" customFormat="1" ht="94.5" x14ac:dyDescent="0.25">
      <c r="A455" s="105" t="s">
        <v>869</v>
      </c>
      <c r="B455" s="110" t="s">
        <v>870</v>
      </c>
      <c r="C455" s="118" t="s">
        <v>903</v>
      </c>
      <c r="D455" s="110" t="s">
        <v>904</v>
      </c>
      <c r="E455" s="110">
        <v>4.3</v>
      </c>
      <c r="F455" s="110">
        <v>4.3</v>
      </c>
      <c r="G455" s="103" t="s">
        <v>909</v>
      </c>
      <c r="H455" s="103" t="s">
        <v>1585</v>
      </c>
      <c r="I455" s="103" t="s">
        <v>910</v>
      </c>
      <c r="J455" s="103" t="s">
        <v>1683</v>
      </c>
      <c r="K455" s="56">
        <v>5</v>
      </c>
      <c r="L455" s="86">
        <v>5</v>
      </c>
      <c r="M455" s="98" t="s">
        <v>337</v>
      </c>
      <c r="N455" s="56" t="s">
        <v>369</v>
      </c>
      <c r="O455" s="54" t="s">
        <v>908</v>
      </c>
      <c r="P455" s="58" t="s">
        <v>42</v>
      </c>
      <c r="Q455" s="54" t="s">
        <v>1679</v>
      </c>
      <c r="R455" s="182">
        <v>5</v>
      </c>
      <c r="S455" s="178">
        <v>5</v>
      </c>
      <c r="T455" s="178">
        <v>5</v>
      </c>
      <c r="U455" s="183">
        <v>5</v>
      </c>
      <c r="V455" s="59">
        <v>1000000000</v>
      </c>
      <c r="W455" s="60"/>
      <c r="X455" s="60"/>
      <c r="Y455" s="60"/>
      <c r="Z455" s="60"/>
      <c r="AA455" s="61"/>
      <c r="AB455" s="62">
        <v>338000000</v>
      </c>
      <c r="AC455" s="60"/>
      <c r="AD455" s="60"/>
      <c r="AE455" s="60"/>
      <c r="AF455" s="60"/>
      <c r="AG455" s="60"/>
      <c r="AH455" s="63"/>
      <c r="AI455" s="62">
        <v>355000000</v>
      </c>
      <c r="AJ455" s="60"/>
      <c r="AK455" s="60"/>
      <c r="AL455" s="60"/>
      <c r="AM455" s="60"/>
      <c r="AN455" s="60"/>
      <c r="AO455" s="63"/>
      <c r="AP455" s="62">
        <v>373000000</v>
      </c>
      <c r="AQ455" s="60"/>
      <c r="AR455" s="60"/>
      <c r="AS455" s="60"/>
      <c r="AT455" s="60"/>
      <c r="AU455" s="60"/>
      <c r="AV455" s="64"/>
      <c r="AW455" s="55">
        <f t="shared" si="41"/>
        <v>1000000000</v>
      </c>
      <c r="AX455" s="55">
        <f t="shared" si="42"/>
        <v>338000000</v>
      </c>
      <c r="AY455" s="55">
        <f t="shared" si="43"/>
        <v>355000000</v>
      </c>
      <c r="AZ455" s="55">
        <f t="shared" si="44"/>
        <v>373000000</v>
      </c>
      <c r="BA455" s="55">
        <f t="shared" si="45"/>
        <v>2066000000</v>
      </c>
      <c r="BB455" s="32"/>
      <c r="BC455" s="32"/>
      <c r="BD455" s="32"/>
      <c r="BE455" s="32"/>
      <c r="BF455" s="32"/>
      <c r="BG455" s="32"/>
      <c r="BH455" s="32"/>
      <c r="BI455" s="32"/>
      <c r="BJ455" s="32"/>
      <c r="BK455" s="32"/>
      <c r="BL455" s="32"/>
      <c r="BM455" s="32"/>
      <c r="BN455" s="32"/>
      <c r="BO455" s="32"/>
      <c r="BP455" s="32"/>
      <c r="BQ455" s="32"/>
      <c r="BR455" s="32"/>
      <c r="BS455" s="32"/>
      <c r="BT455" s="32"/>
      <c r="BU455" s="32"/>
      <c r="BV455" s="32"/>
      <c r="BW455" s="32"/>
      <c r="BX455" s="32"/>
      <c r="BY455" s="32"/>
      <c r="BZ455" s="32"/>
      <c r="CA455" s="32"/>
      <c r="CB455" s="32"/>
      <c r="CC455" s="32"/>
      <c r="CD455" s="32"/>
      <c r="CE455" s="32"/>
      <c r="CF455" s="32"/>
      <c r="CG455" s="32"/>
      <c r="CH455" s="32"/>
      <c r="CI455" s="32"/>
      <c r="CJ455" s="32"/>
      <c r="CK455" s="32"/>
      <c r="CL455" s="32"/>
      <c r="CM455" s="32"/>
      <c r="CN455" s="32"/>
      <c r="CO455" s="32"/>
      <c r="CP455" s="32"/>
      <c r="CQ455" s="32"/>
      <c r="CR455" s="32"/>
      <c r="CS455" s="32"/>
      <c r="CT455" s="32"/>
      <c r="CU455" s="32"/>
      <c r="CV455" s="32"/>
      <c r="CW455" s="32"/>
      <c r="CX455" s="32"/>
      <c r="CY455" s="32"/>
      <c r="CZ455" s="32"/>
      <c r="DA455" s="32"/>
      <c r="DB455" s="32"/>
      <c r="DC455" s="32"/>
      <c r="DD455" s="32"/>
      <c r="DE455" s="32"/>
      <c r="DF455" s="32"/>
      <c r="DG455" s="32"/>
      <c r="DH455" s="32"/>
      <c r="DI455" s="32"/>
      <c r="DJ455" s="32"/>
      <c r="DK455" s="32"/>
      <c r="DL455" s="32"/>
      <c r="DM455" s="32"/>
      <c r="DN455" s="32"/>
      <c r="DO455" s="32"/>
      <c r="DP455" s="32"/>
      <c r="DQ455" s="32"/>
      <c r="DR455" s="32"/>
      <c r="DS455" s="32"/>
      <c r="DT455" s="32"/>
      <c r="DU455" s="32"/>
      <c r="DV455" s="32"/>
      <c r="DW455" s="32"/>
      <c r="DX455" s="32"/>
      <c r="DY455" s="32"/>
      <c r="DZ455" s="32"/>
      <c r="EA455" s="32"/>
      <c r="EB455" s="32"/>
      <c r="EC455" s="32"/>
    </row>
    <row r="456" spans="1:133" s="13" customFormat="1" ht="94.5" x14ac:dyDescent="0.25">
      <c r="A456" s="105" t="s">
        <v>869</v>
      </c>
      <c r="B456" s="110" t="s">
        <v>870</v>
      </c>
      <c r="C456" s="118" t="s">
        <v>903</v>
      </c>
      <c r="D456" s="110" t="s">
        <v>904</v>
      </c>
      <c r="E456" s="110">
        <v>4.3</v>
      </c>
      <c r="F456" s="110">
        <v>4.3</v>
      </c>
      <c r="G456" s="103" t="s">
        <v>911</v>
      </c>
      <c r="H456" s="103" t="s">
        <v>1586</v>
      </c>
      <c r="I456" s="103" t="s">
        <v>912</v>
      </c>
      <c r="J456" s="103" t="s">
        <v>1683</v>
      </c>
      <c r="K456" s="56" t="s">
        <v>41</v>
      </c>
      <c r="L456" s="86">
        <v>150</v>
      </c>
      <c r="M456" s="103" t="s">
        <v>337</v>
      </c>
      <c r="N456" s="56" t="s">
        <v>369</v>
      </c>
      <c r="O456" s="54" t="s">
        <v>908</v>
      </c>
      <c r="P456" s="58" t="s">
        <v>39</v>
      </c>
      <c r="Q456" s="171" t="s">
        <v>1680</v>
      </c>
      <c r="R456" s="182">
        <v>0</v>
      </c>
      <c r="S456" s="178">
        <v>50</v>
      </c>
      <c r="T456" s="178">
        <v>50</v>
      </c>
      <c r="U456" s="183">
        <v>50</v>
      </c>
      <c r="V456" s="59"/>
      <c r="W456" s="60"/>
      <c r="X456" s="60"/>
      <c r="Y456" s="60"/>
      <c r="Z456" s="60"/>
      <c r="AA456" s="61"/>
      <c r="AB456" s="62">
        <v>1992000000</v>
      </c>
      <c r="AC456" s="60"/>
      <c r="AD456" s="60"/>
      <c r="AE456" s="60"/>
      <c r="AF456" s="60"/>
      <c r="AG456" s="60"/>
      <c r="AH456" s="63"/>
      <c r="AI456" s="62">
        <v>2092000000</v>
      </c>
      <c r="AJ456" s="60"/>
      <c r="AK456" s="60"/>
      <c r="AL456" s="60"/>
      <c r="AM456" s="60"/>
      <c r="AN456" s="60"/>
      <c r="AO456" s="63"/>
      <c r="AP456" s="62">
        <v>2196000000</v>
      </c>
      <c r="AQ456" s="60"/>
      <c r="AR456" s="60"/>
      <c r="AS456" s="60"/>
      <c r="AT456" s="60"/>
      <c r="AU456" s="60"/>
      <c r="AV456" s="64"/>
      <c r="AW456" s="55">
        <f t="shared" si="41"/>
        <v>0</v>
      </c>
      <c r="AX456" s="55">
        <f t="shared" si="42"/>
        <v>1992000000</v>
      </c>
      <c r="AY456" s="55">
        <f t="shared" si="43"/>
        <v>2092000000</v>
      </c>
      <c r="AZ456" s="55">
        <f t="shared" si="44"/>
        <v>2196000000</v>
      </c>
      <c r="BA456" s="55">
        <f t="shared" si="45"/>
        <v>6280000000</v>
      </c>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row>
    <row r="457" spans="1:133" s="13" customFormat="1" ht="94.5" x14ac:dyDescent="0.25">
      <c r="A457" s="105" t="s">
        <v>869</v>
      </c>
      <c r="B457" s="110" t="s">
        <v>870</v>
      </c>
      <c r="C457" s="118" t="s">
        <v>903</v>
      </c>
      <c r="D457" s="110" t="s">
        <v>904</v>
      </c>
      <c r="E457" s="110">
        <v>4.3</v>
      </c>
      <c r="F457" s="110">
        <v>4.3</v>
      </c>
      <c r="G457" s="103" t="s">
        <v>913</v>
      </c>
      <c r="H457" s="103" t="s">
        <v>1587</v>
      </c>
      <c r="I457" s="103" t="s">
        <v>914</v>
      </c>
      <c r="J457" s="103" t="s">
        <v>1682</v>
      </c>
      <c r="K457" s="178">
        <v>0</v>
      </c>
      <c r="L457" s="179">
        <v>100</v>
      </c>
      <c r="M457" s="103" t="s">
        <v>337</v>
      </c>
      <c r="N457" s="56" t="s">
        <v>369</v>
      </c>
      <c r="O457" s="54" t="s">
        <v>908</v>
      </c>
      <c r="P457" s="58" t="s">
        <v>39</v>
      </c>
      <c r="Q457" s="171" t="s">
        <v>1680</v>
      </c>
      <c r="R457" s="182">
        <v>0</v>
      </c>
      <c r="S457" s="178">
        <v>30</v>
      </c>
      <c r="T457" s="178">
        <v>30</v>
      </c>
      <c r="U457" s="183">
        <v>40</v>
      </c>
      <c r="V457" s="59"/>
      <c r="W457" s="60"/>
      <c r="X457" s="60"/>
      <c r="Y457" s="60"/>
      <c r="Z457" s="60"/>
      <c r="AA457" s="61"/>
      <c r="AB457" s="62">
        <v>300000000</v>
      </c>
      <c r="AC457" s="60"/>
      <c r="AD457" s="60"/>
      <c r="AE457" s="60"/>
      <c r="AF457" s="60"/>
      <c r="AG457" s="60"/>
      <c r="AH457" s="63"/>
      <c r="AI457" s="62">
        <v>315000000</v>
      </c>
      <c r="AJ457" s="60"/>
      <c r="AK457" s="60"/>
      <c r="AL457" s="60"/>
      <c r="AM457" s="60"/>
      <c r="AN457" s="60"/>
      <c r="AO457" s="63"/>
      <c r="AP457" s="62">
        <v>331000000</v>
      </c>
      <c r="AQ457" s="60"/>
      <c r="AR457" s="60"/>
      <c r="AS457" s="60"/>
      <c r="AT457" s="60"/>
      <c r="AU457" s="60"/>
      <c r="AV457" s="64"/>
      <c r="AW457" s="55">
        <f t="shared" si="41"/>
        <v>0</v>
      </c>
      <c r="AX457" s="55">
        <f t="shared" si="42"/>
        <v>300000000</v>
      </c>
      <c r="AY457" s="55">
        <f t="shared" si="43"/>
        <v>315000000</v>
      </c>
      <c r="AZ457" s="55">
        <f t="shared" si="44"/>
        <v>331000000</v>
      </c>
      <c r="BA457" s="55">
        <f t="shared" si="45"/>
        <v>946000000</v>
      </c>
      <c r="BB457" s="32"/>
      <c r="BC457" s="32"/>
      <c r="BD457" s="32"/>
      <c r="BE457" s="32"/>
      <c r="BF457" s="32"/>
      <c r="BG457" s="32"/>
      <c r="BH457" s="32"/>
      <c r="BI457" s="32"/>
      <c r="BJ457" s="32"/>
      <c r="BK457" s="32"/>
      <c r="BL457" s="32"/>
      <c r="BM457" s="32"/>
      <c r="BN457" s="32"/>
      <c r="BO457" s="32"/>
      <c r="BP457" s="32"/>
      <c r="BQ457" s="32"/>
      <c r="BR457" s="32"/>
      <c r="BS457" s="32"/>
      <c r="BT457" s="32"/>
      <c r="BU457" s="32"/>
      <c r="BV457" s="32"/>
      <c r="BW457" s="32"/>
      <c r="BX457" s="32"/>
      <c r="BY457" s="32"/>
      <c r="BZ457" s="32"/>
      <c r="CA457" s="32"/>
      <c r="CB457" s="32"/>
      <c r="CC457" s="32"/>
      <c r="CD457" s="32"/>
      <c r="CE457" s="32"/>
      <c r="CF457" s="32"/>
      <c r="CG457" s="32"/>
      <c r="CH457" s="32"/>
      <c r="CI457" s="32"/>
      <c r="CJ457" s="32"/>
      <c r="CK457" s="32"/>
      <c r="CL457" s="32"/>
      <c r="CM457" s="32"/>
      <c r="CN457" s="32"/>
      <c r="CO457" s="32"/>
      <c r="CP457" s="32"/>
      <c r="CQ457" s="32"/>
      <c r="CR457" s="32"/>
      <c r="CS457" s="32"/>
      <c r="CT457" s="32"/>
      <c r="CU457" s="32"/>
      <c r="CV457" s="32"/>
      <c r="CW457" s="32"/>
      <c r="CX457" s="32"/>
      <c r="CY457" s="32"/>
      <c r="CZ457" s="32"/>
      <c r="DA457" s="32"/>
      <c r="DB457" s="32"/>
      <c r="DC457" s="32"/>
      <c r="DD457" s="32"/>
      <c r="DE457" s="32"/>
      <c r="DF457" s="32"/>
      <c r="DG457" s="32"/>
      <c r="DH457" s="32"/>
      <c r="DI457" s="32"/>
      <c r="DJ457" s="32"/>
      <c r="DK457" s="32"/>
      <c r="DL457" s="32"/>
      <c r="DM457" s="32"/>
      <c r="DN457" s="32"/>
      <c r="DO457" s="32"/>
      <c r="DP457" s="32"/>
      <c r="DQ457" s="32"/>
      <c r="DR457" s="32"/>
      <c r="DS457" s="32"/>
      <c r="DT457" s="32"/>
      <c r="DU457" s="32"/>
      <c r="DV457" s="32"/>
      <c r="DW457" s="32"/>
      <c r="DX457" s="32"/>
      <c r="DY457" s="32"/>
      <c r="DZ457" s="32"/>
      <c r="EA457" s="32"/>
      <c r="EB457" s="32"/>
      <c r="EC457" s="32"/>
    </row>
    <row r="458" spans="1:133" s="13" customFormat="1" ht="94.5" x14ac:dyDescent="0.25">
      <c r="A458" s="105" t="s">
        <v>869</v>
      </c>
      <c r="B458" s="110" t="s">
        <v>870</v>
      </c>
      <c r="C458" s="118" t="s">
        <v>903</v>
      </c>
      <c r="D458" s="110" t="s">
        <v>904</v>
      </c>
      <c r="E458" s="110">
        <v>4.3</v>
      </c>
      <c r="F458" s="110">
        <v>4.3</v>
      </c>
      <c r="G458" s="103" t="s">
        <v>915</v>
      </c>
      <c r="H458" s="103" t="s">
        <v>1588</v>
      </c>
      <c r="I458" s="103" t="s">
        <v>916</v>
      </c>
      <c r="J458" s="103" t="s">
        <v>1683</v>
      </c>
      <c r="K458" s="56">
        <v>1</v>
      </c>
      <c r="L458" s="86">
        <v>4</v>
      </c>
      <c r="M458" s="103" t="s">
        <v>337</v>
      </c>
      <c r="N458" s="56" t="s">
        <v>369</v>
      </c>
      <c r="O458" s="54" t="s">
        <v>908</v>
      </c>
      <c r="P458" s="58" t="s">
        <v>39</v>
      </c>
      <c r="Q458" s="171" t="s">
        <v>1680</v>
      </c>
      <c r="R458" s="182">
        <v>0</v>
      </c>
      <c r="S458" s="178">
        <v>1</v>
      </c>
      <c r="T458" s="178">
        <v>2</v>
      </c>
      <c r="U458" s="183">
        <v>1</v>
      </c>
      <c r="V458" s="59"/>
      <c r="W458" s="60"/>
      <c r="X458" s="60"/>
      <c r="Y458" s="60"/>
      <c r="Z458" s="60"/>
      <c r="AA458" s="61"/>
      <c r="AB458" s="62">
        <v>254000000</v>
      </c>
      <c r="AC458" s="60"/>
      <c r="AD458" s="60"/>
      <c r="AE458" s="60"/>
      <c r="AF458" s="60"/>
      <c r="AG458" s="60"/>
      <c r="AH458" s="63"/>
      <c r="AI458" s="62">
        <v>267000000</v>
      </c>
      <c r="AJ458" s="60"/>
      <c r="AK458" s="60"/>
      <c r="AL458" s="60"/>
      <c r="AM458" s="60"/>
      <c r="AN458" s="60"/>
      <c r="AO458" s="63"/>
      <c r="AP458" s="62">
        <v>281000000</v>
      </c>
      <c r="AQ458" s="60"/>
      <c r="AR458" s="60"/>
      <c r="AS458" s="60"/>
      <c r="AT458" s="60"/>
      <c r="AU458" s="60"/>
      <c r="AV458" s="64"/>
      <c r="AW458" s="55">
        <f t="shared" si="41"/>
        <v>0</v>
      </c>
      <c r="AX458" s="55">
        <f t="shared" si="42"/>
        <v>254000000</v>
      </c>
      <c r="AY458" s="55">
        <f t="shared" si="43"/>
        <v>267000000</v>
      </c>
      <c r="AZ458" s="55">
        <f t="shared" si="44"/>
        <v>281000000</v>
      </c>
      <c r="BA458" s="55">
        <f t="shared" si="45"/>
        <v>802000000</v>
      </c>
      <c r="BB458" s="32"/>
      <c r="BC458" s="32"/>
      <c r="BD458" s="32"/>
      <c r="BE458" s="32"/>
      <c r="BF458" s="32"/>
      <c r="BG458" s="32"/>
      <c r="BH458" s="32"/>
      <c r="BI458" s="32"/>
      <c r="BJ458" s="32"/>
      <c r="BK458" s="32"/>
      <c r="BL458" s="32"/>
      <c r="BM458" s="32"/>
      <c r="BN458" s="32"/>
      <c r="BO458" s="32"/>
      <c r="BP458" s="32"/>
      <c r="BQ458" s="32"/>
      <c r="BR458" s="32"/>
      <c r="BS458" s="32"/>
      <c r="BT458" s="32"/>
      <c r="BU458" s="32"/>
      <c r="BV458" s="32"/>
      <c r="BW458" s="32"/>
      <c r="BX458" s="32"/>
      <c r="BY458" s="32"/>
      <c r="BZ458" s="32"/>
      <c r="CA458" s="32"/>
      <c r="CB458" s="32"/>
      <c r="CC458" s="32"/>
      <c r="CD458" s="32"/>
      <c r="CE458" s="32"/>
      <c r="CF458" s="32"/>
      <c r="CG458" s="32"/>
      <c r="CH458" s="32"/>
      <c r="CI458" s="32"/>
      <c r="CJ458" s="32"/>
      <c r="CK458" s="32"/>
      <c r="CL458" s="32"/>
      <c r="CM458" s="32"/>
      <c r="CN458" s="32"/>
      <c r="CO458" s="32"/>
      <c r="CP458" s="32"/>
      <c r="CQ458" s="32"/>
      <c r="CR458" s="32"/>
      <c r="CS458" s="32"/>
      <c r="CT458" s="32"/>
      <c r="CU458" s="32"/>
      <c r="CV458" s="32"/>
      <c r="CW458" s="32"/>
      <c r="CX458" s="32"/>
      <c r="CY458" s="32"/>
      <c r="CZ458" s="32"/>
      <c r="DA458" s="32"/>
      <c r="DB458" s="32"/>
      <c r="DC458" s="32"/>
      <c r="DD458" s="32"/>
      <c r="DE458" s="32"/>
      <c r="DF458" s="32"/>
      <c r="DG458" s="32"/>
      <c r="DH458" s="32"/>
      <c r="DI458" s="32"/>
      <c r="DJ458" s="32"/>
      <c r="DK458" s="32"/>
      <c r="DL458" s="32"/>
      <c r="DM458" s="32"/>
      <c r="DN458" s="32"/>
      <c r="DO458" s="32"/>
      <c r="DP458" s="32"/>
      <c r="DQ458" s="32"/>
      <c r="DR458" s="32"/>
      <c r="DS458" s="32"/>
      <c r="DT458" s="32"/>
      <c r="DU458" s="32"/>
      <c r="DV458" s="32"/>
      <c r="DW458" s="32"/>
      <c r="DX458" s="32"/>
      <c r="DY458" s="32"/>
      <c r="DZ458" s="32"/>
      <c r="EA458" s="32"/>
      <c r="EB458" s="32"/>
      <c r="EC458" s="32"/>
    </row>
    <row r="459" spans="1:133" s="13" customFormat="1" ht="94.5" x14ac:dyDescent="0.25">
      <c r="A459" s="105" t="s">
        <v>869</v>
      </c>
      <c r="B459" s="110" t="s">
        <v>870</v>
      </c>
      <c r="C459" s="118" t="s">
        <v>903</v>
      </c>
      <c r="D459" s="110" t="s">
        <v>904</v>
      </c>
      <c r="E459" s="110">
        <v>4.3</v>
      </c>
      <c r="F459" s="110">
        <v>4.3</v>
      </c>
      <c r="G459" s="103" t="s">
        <v>917</v>
      </c>
      <c r="H459" s="103" t="s">
        <v>1589</v>
      </c>
      <c r="I459" s="103" t="s">
        <v>918</v>
      </c>
      <c r="J459" s="103" t="s">
        <v>1683</v>
      </c>
      <c r="K459" s="56">
        <v>0</v>
      </c>
      <c r="L459" s="86">
        <v>10</v>
      </c>
      <c r="M459" s="103" t="s">
        <v>337</v>
      </c>
      <c r="N459" s="56" t="s">
        <v>369</v>
      </c>
      <c r="O459" s="54" t="s">
        <v>908</v>
      </c>
      <c r="P459" s="58" t="s">
        <v>39</v>
      </c>
      <c r="Q459" s="171" t="s">
        <v>1680</v>
      </c>
      <c r="R459" s="182">
        <v>0</v>
      </c>
      <c r="S459" s="178">
        <v>3</v>
      </c>
      <c r="T459" s="178">
        <v>3</v>
      </c>
      <c r="U459" s="183">
        <v>4</v>
      </c>
      <c r="V459" s="59"/>
      <c r="W459" s="60"/>
      <c r="X459" s="60"/>
      <c r="Y459" s="60"/>
      <c r="Z459" s="60"/>
      <c r="AA459" s="61"/>
      <c r="AB459" s="62">
        <v>234000000</v>
      </c>
      <c r="AC459" s="60"/>
      <c r="AD459" s="60"/>
      <c r="AE459" s="60"/>
      <c r="AF459" s="60"/>
      <c r="AG459" s="60"/>
      <c r="AH459" s="63"/>
      <c r="AI459" s="62">
        <v>246000000</v>
      </c>
      <c r="AJ459" s="60"/>
      <c r="AK459" s="60"/>
      <c r="AL459" s="60"/>
      <c r="AM459" s="60"/>
      <c r="AN459" s="60"/>
      <c r="AO459" s="63"/>
      <c r="AP459" s="62">
        <v>257000000</v>
      </c>
      <c r="AQ459" s="60"/>
      <c r="AR459" s="60"/>
      <c r="AS459" s="60"/>
      <c r="AT459" s="60"/>
      <c r="AU459" s="60"/>
      <c r="AV459" s="64"/>
      <c r="AW459" s="55">
        <f t="shared" si="41"/>
        <v>0</v>
      </c>
      <c r="AX459" s="55">
        <f t="shared" si="42"/>
        <v>234000000</v>
      </c>
      <c r="AY459" s="55">
        <f t="shared" si="43"/>
        <v>246000000</v>
      </c>
      <c r="AZ459" s="55">
        <f t="shared" si="44"/>
        <v>257000000</v>
      </c>
      <c r="BA459" s="55">
        <f t="shared" si="45"/>
        <v>737000000</v>
      </c>
      <c r="BB459" s="32"/>
      <c r="BC459" s="32"/>
      <c r="BD459" s="32"/>
      <c r="BE459" s="32"/>
      <c r="BF459" s="32"/>
      <c r="BG459" s="32"/>
      <c r="BH459" s="32"/>
      <c r="BI459" s="32"/>
      <c r="BJ459" s="32"/>
      <c r="BK459" s="32"/>
      <c r="BL459" s="32"/>
      <c r="BM459" s="32"/>
      <c r="BN459" s="32"/>
      <c r="BO459" s="32"/>
      <c r="BP459" s="32"/>
      <c r="BQ459" s="32"/>
      <c r="BR459" s="32"/>
      <c r="BS459" s="32"/>
      <c r="BT459" s="32"/>
      <c r="BU459" s="32"/>
      <c r="BV459" s="32"/>
      <c r="BW459" s="32"/>
      <c r="BX459" s="32"/>
      <c r="BY459" s="32"/>
      <c r="BZ459" s="32"/>
      <c r="CA459" s="32"/>
      <c r="CB459" s="32"/>
      <c r="CC459" s="32"/>
      <c r="CD459" s="32"/>
      <c r="CE459" s="32"/>
      <c r="CF459" s="32"/>
      <c r="CG459" s="32"/>
      <c r="CH459" s="32"/>
      <c r="CI459" s="32"/>
      <c r="CJ459" s="32"/>
      <c r="CK459" s="32"/>
      <c r="CL459" s="32"/>
      <c r="CM459" s="32"/>
      <c r="CN459" s="32"/>
      <c r="CO459" s="32"/>
      <c r="CP459" s="32"/>
      <c r="CQ459" s="32"/>
      <c r="CR459" s="32"/>
      <c r="CS459" s="32"/>
      <c r="CT459" s="32"/>
      <c r="CU459" s="32"/>
      <c r="CV459" s="32"/>
      <c r="CW459" s="32"/>
      <c r="CX459" s="32"/>
      <c r="CY459" s="32"/>
      <c r="CZ459" s="32"/>
      <c r="DA459" s="32"/>
      <c r="DB459" s="32"/>
      <c r="DC459" s="32"/>
      <c r="DD459" s="32"/>
      <c r="DE459" s="32"/>
      <c r="DF459" s="32"/>
      <c r="DG459" s="32"/>
      <c r="DH459" s="32"/>
      <c r="DI459" s="32"/>
      <c r="DJ459" s="32"/>
      <c r="DK459" s="32"/>
      <c r="DL459" s="32"/>
      <c r="DM459" s="32"/>
      <c r="DN459" s="32"/>
      <c r="DO459" s="32"/>
      <c r="DP459" s="32"/>
      <c r="DQ459" s="32"/>
      <c r="DR459" s="32"/>
      <c r="DS459" s="32"/>
      <c r="DT459" s="32"/>
      <c r="DU459" s="32"/>
      <c r="DV459" s="32"/>
      <c r="DW459" s="32"/>
      <c r="DX459" s="32"/>
      <c r="DY459" s="32"/>
      <c r="DZ459" s="32"/>
      <c r="EA459" s="32"/>
      <c r="EB459" s="32"/>
      <c r="EC459" s="32"/>
    </row>
    <row r="460" spans="1:133" s="13" customFormat="1" ht="94.5" x14ac:dyDescent="0.25">
      <c r="A460" s="105" t="s">
        <v>869</v>
      </c>
      <c r="B460" s="110" t="s">
        <v>870</v>
      </c>
      <c r="C460" s="118" t="s">
        <v>903</v>
      </c>
      <c r="D460" s="110" t="s">
        <v>904</v>
      </c>
      <c r="E460" s="110">
        <v>4.3</v>
      </c>
      <c r="F460" s="110">
        <v>4.3</v>
      </c>
      <c r="G460" s="103" t="s">
        <v>919</v>
      </c>
      <c r="H460" s="103" t="s">
        <v>1590</v>
      </c>
      <c r="I460" s="103" t="s">
        <v>920</v>
      </c>
      <c r="J460" s="103" t="s">
        <v>1683</v>
      </c>
      <c r="K460" s="56">
        <v>0</v>
      </c>
      <c r="L460" s="86">
        <v>25</v>
      </c>
      <c r="M460" s="103" t="s">
        <v>838</v>
      </c>
      <c r="N460" s="56" t="s">
        <v>369</v>
      </c>
      <c r="O460" s="54" t="s">
        <v>908</v>
      </c>
      <c r="P460" s="58" t="s">
        <v>39</v>
      </c>
      <c r="Q460" s="171" t="s">
        <v>1680</v>
      </c>
      <c r="R460" s="182">
        <v>2</v>
      </c>
      <c r="S460" s="178">
        <v>7</v>
      </c>
      <c r="T460" s="178">
        <v>8</v>
      </c>
      <c r="U460" s="183">
        <v>8</v>
      </c>
      <c r="V460" s="59">
        <v>300000000</v>
      </c>
      <c r="W460" s="60"/>
      <c r="X460" s="60"/>
      <c r="Y460" s="60"/>
      <c r="Z460" s="60"/>
      <c r="AA460" s="61"/>
      <c r="AB460" s="62">
        <v>100000000</v>
      </c>
      <c r="AC460" s="60"/>
      <c r="AD460" s="60"/>
      <c r="AE460" s="60"/>
      <c r="AF460" s="60"/>
      <c r="AG460" s="60"/>
      <c r="AH460" s="63"/>
      <c r="AI460" s="62">
        <v>100000000</v>
      </c>
      <c r="AJ460" s="60"/>
      <c r="AK460" s="60"/>
      <c r="AL460" s="60"/>
      <c r="AM460" s="60"/>
      <c r="AN460" s="60"/>
      <c r="AO460" s="63"/>
      <c r="AP460" s="62">
        <v>100000000</v>
      </c>
      <c r="AQ460" s="60"/>
      <c r="AR460" s="60"/>
      <c r="AS460" s="60"/>
      <c r="AT460" s="60"/>
      <c r="AU460" s="60"/>
      <c r="AV460" s="64"/>
      <c r="AW460" s="55">
        <f t="shared" si="41"/>
        <v>300000000</v>
      </c>
      <c r="AX460" s="55">
        <f t="shared" si="42"/>
        <v>100000000</v>
      </c>
      <c r="AY460" s="55">
        <f t="shared" si="43"/>
        <v>100000000</v>
      </c>
      <c r="AZ460" s="55">
        <f t="shared" si="44"/>
        <v>100000000</v>
      </c>
      <c r="BA460" s="55">
        <f t="shared" si="45"/>
        <v>600000000</v>
      </c>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row>
    <row r="461" spans="1:133" s="13" customFormat="1" ht="94.5" x14ac:dyDescent="0.25">
      <c r="A461" s="105" t="s">
        <v>869</v>
      </c>
      <c r="B461" s="110" t="s">
        <v>870</v>
      </c>
      <c r="C461" s="119" t="s">
        <v>921</v>
      </c>
      <c r="D461" s="110" t="s">
        <v>904</v>
      </c>
      <c r="E461" s="110">
        <v>4.3</v>
      </c>
      <c r="F461" s="110">
        <v>4.3</v>
      </c>
      <c r="G461" s="103" t="s">
        <v>922</v>
      </c>
      <c r="H461" s="103" t="s">
        <v>1591</v>
      </c>
      <c r="I461" s="103" t="s">
        <v>923</v>
      </c>
      <c r="J461" s="103" t="s">
        <v>1682</v>
      </c>
      <c r="K461" s="178">
        <v>0</v>
      </c>
      <c r="L461" s="179">
        <v>100</v>
      </c>
      <c r="M461" s="100" t="s">
        <v>337</v>
      </c>
      <c r="N461" s="56" t="s">
        <v>369</v>
      </c>
      <c r="O461" s="54" t="s">
        <v>908</v>
      </c>
      <c r="P461" s="58" t="s">
        <v>39</v>
      </c>
      <c r="Q461" s="171" t="s">
        <v>1680</v>
      </c>
      <c r="R461" s="182">
        <v>0</v>
      </c>
      <c r="S461" s="178">
        <v>33</v>
      </c>
      <c r="T461" s="178">
        <v>34</v>
      </c>
      <c r="U461" s="183">
        <v>33</v>
      </c>
      <c r="V461" s="59"/>
      <c r="W461" s="60"/>
      <c r="X461" s="60"/>
      <c r="Y461" s="60"/>
      <c r="Z461" s="60"/>
      <c r="AA461" s="61"/>
      <c r="AB461" s="62">
        <v>350000000</v>
      </c>
      <c r="AC461" s="60"/>
      <c r="AD461" s="60"/>
      <c r="AE461" s="60"/>
      <c r="AF461" s="60"/>
      <c r="AG461" s="60"/>
      <c r="AH461" s="63"/>
      <c r="AI461" s="62">
        <v>350000000</v>
      </c>
      <c r="AJ461" s="60"/>
      <c r="AK461" s="60"/>
      <c r="AL461" s="60"/>
      <c r="AM461" s="60"/>
      <c r="AN461" s="60"/>
      <c r="AO461" s="63"/>
      <c r="AP461" s="62">
        <v>350000000</v>
      </c>
      <c r="AQ461" s="60"/>
      <c r="AR461" s="60"/>
      <c r="AS461" s="60"/>
      <c r="AT461" s="60"/>
      <c r="AU461" s="60"/>
      <c r="AV461" s="64"/>
      <c r="AW461" s="55">
        <f t="shared" si="41"/>
        <v>0</v>
      </c>
      <c r="AX461" s="55">
        <f t="shared" si="42"/>
        <v>350000000</v>
      </c>
      <c r="AY461" s="55">
        <f t="shared" si="43"/>
        <v>350000000</v>
      </c>
      <c r="AZ461" s="55">
        <f t="shared" si="44"/>
        <v>350000000</v>
      </c>
      <c r="BA461" s="55">
        <f t="shared" si="45"/>
        <v>1050000000</v>
      </c>
      <c r="BB461" s="32"/>
      <c r="BC461" s="32"/>
      <c r="BD461" s="32"/>
      <c r="BE461" s="32"/>
      <c r="BF461" s="32"/>
      <c r="BG461" s="32"/>
      <c r="BH461" s="32"/>
      <c r="BI461" s="32"/>
      <c r="BJ461" s="32"/>
      <c r="BK461" s="32"/>
      <c r="BL461" s="32"/>
      <c r="BM461" s="32"/>
      <c r="BN461" s="32"/>
      <c r="BO461" s="32"/>
      <c r="BP461" s="32"/>
      <c r="BQ461" s="32"/>
      <c r="BR461" s="32"/>
      <c r="BS461" s="32"/>
      <c r="BT461" s="32"/>
      <c r="BU461" s="32"/>
      <c r="BV461" s="32"/>
      <c r="BW461" s="32"/>
      <c r="BX461" s="32"/>
      <c r="BY461" s="32"/>
      <c r="BZ461" s="32"/>
      <c r="CA461" s="32"/>
      <c r="CB461" s="32"/>
      <c r="CC461" s="32"/>
      <c r="CD461" s="32"/>
      <c r="CE461" s="32"/>
      <c r="CF461" s="32"/>
      <c r="CG461" s="32"/>
      <c r="CH461" s="32"/>
      <c r="CI461" s="32"/>
      <c r="CJ461" s="32"/>
      <c r="CK461" s="32"/>
      <c r="CL461" s="32"/>
      <c r="CM461" s="32"/>
      <c r="CN461" s="32"/>
      <c r="CO461" s="32"/>
      <c r="CP461" s="32"/>
      <c r="CQ461" s="32"/>
      <c r="CR461" s="32"/>
      <c r="CS461" s="32"/>
      <c r="CT461" s="32"/>
      <c r="CU461" s="32"/>
      <c r="CV461" s="32"/>
      <c r="CW461" s="32"/>
      <c r="CX461" s="32"/>
      <c r="CY461" s="32"/>
      <c r="CZ461" s="32"/>
      <c r="DA461" s="32"/>
      <c r="DB461" s="32"/>
      <c r="DC461" s="32"/>
      <c r="DD461" s="32"/>
      <c r="DE461" s="32"/>
      <c r="DF461" s="32"/>
      <c r="DG461" s="32"/>
      <c r="DH461" s="32"/>
      <c r="DI461" s="32"/>
      <c r="DJ461" s="32"/>
      <c r="DK461" s="32"/>
      <c r="DL461" s="32"/>
      <c r="DM461" s="32"/>
      <c r="DN461" s="32"/>
      <c r="DO461" s="32"/>
      <c r="DP461" s="32"/>
      <c r="DQ461" s="32"/>
      <c r="DR461" s="32"/>
      <c r="DS461" s="32"/>
      <c r="DT461" s="32"/>
      <c r="DU461" s="32"/>
      <c r="DV461" s="32"/>
      <c r="DW461" s="32"/>
      <c r="DX461" s="32"/>
      <c r="DY461" s="32"/>
      <c r="DZ461" s="32"/>
      <c r="EA461" s="32"/>
      <c r="EB461" s="32"/>
      <c r="EC461" s="32"/>
    </row>
    <row r="462" spans="1:133" s="13" customFormat="1" ht="94.5" x14ac:dyDescent="0.25">
      <c r="A462" s="105" t="s">
        <v>869</v>
      </c>
      <c r="B462" s="110" t="s">
        <v>870</v>
      </c>
      <c r="C462" s="119" t="s">
        <v>921</v>
      </c>
      <c r="D462" s="110" t="s">
        <v>904</v>
      </c>
      <c r="E462" s="110">
        <v>4.3</v>
      </c>
      <c r="F462" s="110">
        <v>4.3</v>
      </c>
      <c r="G462" s="110" t="s">
        <v>924</v>
      </c>
      <c r="H462" s="110" t="s">
        <v>1592</v>
      </c>
      <c r="I462" s="103" t="s">
        <v>925</v>
      </c>
      <c r="J462" s="103" t="s">
        <v>1682</v>
      </c>
      <c r="K462" s="178">
        <v>0</v>
      </c>
      <c r="L462" s="179">
        <v>100</v>
      </c>
      <c r="M462" s="108" t="s">
        <v>337</v>
      </c>
      <c r="N462" s="56" t="s">
        <v>369</v>
      </c>
      <c r="O462" s="54" t="s">
        <v>908</v>
      </c>
      <c r="P462" s="58" t="s">
        <v>181</v>
      </c>
      <c r="Q462" s="171" t="s">
        <v>1679</v>
      </c>
      <c r="R462" s="182">
        <v>0</v>
      </c>
      <c r="S462" s="178">
        <v>100</v>
      </c>
      <c r="T462" s="178">
        <v>100</v>
      </c>
      <c r="U462" s="183">
        <v>100</v>
      </c>
      <c r="V462" s="59"/>
      <c r="W462" s="60"/>
      <c r="X462" s="60"/>
      <c r="Y462" s="60"/>
      <c r="Z462" s="60"/>
      <c r="AA462" s="61"/>
      <c r="AB462" s="62">
        <v>288000000</v>
      </c>
      <c r="AC462" s="60"/>
      <c r="AD462" s="60"/>
      <c r="AE462" s="60"/>
      <c r="AF462" s="60"/>
      <c r="AG462" s="60"/>
      <c r="AH462" s="63"/>
      <c r="AI462" s="62">
        <v>288000000</v>
      </c>
      <c r="AJ462" s="60"/>
      <c r="AK462" s="60"/>
      <c r="AL462" s="60"/>
      <c r="AM462" s="60"/>
      <c r="AN462" s="60"/>
      <c r="AO462" s="63"/>
      <c r="AP462" s="62">
        <v>288000000</v>
      </c>
      <c r="AQ462" s="60"/>
      <c r="AR462" s="60"/>
      <c r="AS462" s="60"/>
      <c r="AT462" s="60"/>
      <c r="AU462" s="60"/>
      <c r="AV462" s="64"/>
      <c r="AW462" s="55">
        <f t="shared" si="41"/>
        <v>0</v>
      </c>
      <c r="AX462" s="55">
        <f t="shared" si="42"/>
        <v>288000000</v>
      </c>
      <c r="AY462" s="55">
        <f t="shared" si="43"/>
        <v>288000000</v>
      </c>
      <c r="AZ462" s="55">
        <f t="shared" si="44"/>
        <v>288000000</v>
      </c>
      <c r="BA462" s="55">
        <f t="shared" si="45"/>
        <v>864000000</v>
      </c>
      <c r="BB462" s="32"/>
      <c r="BC462" s="32"/>
      <c r="BD462" s="32"/>
      <c r="BE462" s="32"/>
      <c r="BF462" s="32"/>
      <c r="BG462" s="32"/>
      <c r="BH462" s="32"/>
      <c r="BI462" s="32"/>
      <c r="BJ462" s="32"/>
      <c r="BK462" s="32"/>
      <c r="BL462" s="32"/>
      <c r="BM462" s="32"/>
      <c r="BN462" s="32"/>
      <c r="BO462" s="32"/>
      <c r="BP462" s="32"/>
      <c r="BQ462" s="32"/>
      <c r="BR462" s="32"/>
      <c r="BS462" s="32"/>
      <c r="BT462" s="32"/>
      <c r="BU462" s="32"/>
      <c r="BV462" s="32"/>
      <c r="BW462" s="32"/>
      <c r="BX462" s="32"/>
      <c r="BY462" s="32"/>
      <c r="BZ462" s="32"/>
      <c r="CA462" s="32"/>
      <c r="CB462" s="32"/>
      <c r="CC462" s="32"/>
      <c r="CD462" s="32"/>
      <c r="CE462" s="32"/>
      <c r="CF462" s="32"/>
      <c r="CG462" s="32"/>
      <c r="CH462" s="32"/>
      <c r="CI462" s="32"/>
      <c r="CJ462" s="32"/>
      <c r="CK462" s="32"/>
      <c r="CL462" s="32"/>
      <c r="CM462" s="32"/>
      <c r="CN462" s="32"/>
      <c r="CO462" s="32"/>
      <c r="CP462" s="32"/>
      <c r="CQ462" s="32"/>
      <c r="CR462" s="32"/>
      <c r="CS462" s="32"/>
      <c r="CT462" s="32"/>
      <c r="CU462" s="32"/>
      <c r="CV462" s="32"/>
      <c r="CW462" s="32"/>
      <c r="CX462" s="32"/>
      <c r="CY462" s="32"/>
      <c r="CZ462" s="32"/>
      <c r="DA462" s="32"/>
      <c r="DB462" s="32"/>
      <c r="DC462" s="32"/>
      <c r="DD462" s="32"/>
      <c r="DE462" s="32"/>
      <c r="DF462" s="32"/>
      <c r="DG462" s="32"/>
      <c r="DH462" s="32"/>
      <c r="DI462" s="32"/>
      <c r="DJ462" s="32"/>
      <c r="DK462" s="32"/>
      <c r="DL462" s="32"/>
      <c r="DM462" s="32"/>
      <c r="DN462" s="32"/>
      <c r="DO462" s="32"/>
      <c r="DP462" s="32"/>
      <c r="DQ462" s="32"/>
      <c r="DR462" s="32"/>
      <c r="DS462" s="32"/>
      <c r="DT462" s="32"/>
      <c r="DU462" s="32"/>
      <c r="DV462" s="32"/>
      <c r="DW462" s="32"/>
      <c r="DX462" s="32"/>
      <c r="DY462" s="32"/>
      <c r="DZ462" s="32"/>
      <c r="EA462" s="32"/>
      <c r="EB462" s="32"/>
      <c r="EC462" s="32"/>
    </row>
    <row r="463" spans="1:133" s="13" customFormat="1" ht="157.5" x14ac:dyDescent="0.25">
      <c r="A463" s="105" t="s">
        <v>869</v>
      </c>
      <c r="B463" s="110" t="s">
        <v>870</v>
      </c>
      <c r="C463" s="119" t="s">
        <v>921</v>
      </c>
      <c r="D463" s="110" t="s">
        <v>904</v>
      </c>
      <c r="E463" s="110">
        <v>4.3</v>
      </c>
      <c r="F463" s="110">
        <v>4.3</v>
      </c>
      <c r="G463" s="110" t="s">
        <v>924</v>
      </c>
      <c r="H463" s="110" t="s">
        <v>1593</v>
      </c>
      <c r="I463" s="103" t="s">
        <v>926</v>
      </c>
      <c r="J463" s="103" t="s">
        <v>1682</v>
      </c>
      <c r="K463" s="178">
        <v>0</v>
      </c>
      <c r="L463" s="179">
        <v>100</v>
      </c>
      <c r="M463" s="108" t="s">
        <v>337</v>
      </c>
      <c r="N463" s="56" t="s">
        <v>369</v>
      </c>
      <c r="O463" s="54" t="s">
        <v>908</v>
      </c>
      <c r="P463" s="58" t="s">
        <v>181</v>
      </c>
      <c r="Q463" s="171" t="s">
        <v>1679</v>
      </c>
      <c r="R463" s="182">
        <v>0</v>
      </c>
      <c r="S463" s="178">
        <v>100</v>
      </c>
      <c r="T463" s="178">
        <v>100</v>
      </c>
      <c r="U463" s="183">
        <v>100</v>
      </c>
      <c r="V463" s="59"/>
      <c r="W463" s="60"/>
      <c r="X463" s="60"/>
      <c r="Y463" s="60"/>
      <c r="Z463" s="60"/>
      <c r="AA463" s="61"/>
      <c r="AB463" s="62">
        <v>120000000</v>
      </c>
      <c r="AC463" s="60"/>
      <c r="AD463" s="60"/>
      <c r="AE463" s="60"/>
      <c r="AF463" s="60"/>
      <c r="AG463" s="60"/>
      <c r="AH463" s="63"/>
      <c r="AI463" s="62">
        <v>120000000</v>
      </c>
      <c r="AJ463" s="60"/>
      <c r="AK463" s="60"/>
      <c r="AL463" s="60"/>
      <c r="AM463" s="60"/>
      <c r="AN463" s="60"/>
      <c r="AO463" s="63"/>
      <c r="AP463" s="62">
        <v>120000000</v>
      </c>
      <c r="AQ463" s="60"/>
      <c r="AR463" s="60"/>
      <c r="AS463" s="60"/>
      <c r="AT463" s="60"/>
      <c r="AU463" s="60"/>
      <c r="AV463" s="64"/>
      <c r="AW463" s="55">
        <f t="shared" si="41"/>
        <v>0</v>
      </c>
      <c r="AX463" s="55">
        <f t="shared" si="42"/>
        <v>120000000</v>
      </c>
      <c r="AY463" s="55">
        <f t="shared" si="43"/>
        <v>120000000</v>
      </c>
      <c r="AZ463" s="55">
        <f t="shared" si="44"/>
        <v>120000000</v>
      </c>
      <c r="BA463" s="55">
        <f t="shared" si="45"/>
        <v>360000000</v>
      </c>
      <c r="BB463" s="32"/>
      <c r="BC463" s="32"/>
      <c r="BD463" s="32"/>
      <c r="BE463" s="32"/>
      <c r="BF463" s="32"/>
      <c r="BG463" s="32"/>
      <c r="BH463" s="32"/>
      <c r="BI463" s="32"/>
      <c r="BJ463" s="32"/>
      <c r="BK463" s="32"/>
      <c r="BL463" s="32"/>
      <c r="BM463" s="32"/>
      <c r="BN463" s="32"/>
      <c r="BO463" s="32"/>
      <c r="BP463" s="32"/>
      <c r="BQ463" s="32"/>
      <c r="BR463" s="32"/>
      <c r="BS463" s="32"/>
      <c r="BT463" s="32"/>
      <c r="BU463" s="32"/>
      <c r="BV463" s="32"/>
      <c r="BW463" s="32"/>
      <c r="BX463" s="32"/>
      <c r="BY463" s="32"/>
      <c r="BZ463" s="32"/>
      <c r="CA463" s="32"/>
      <c r="CB463" s="32"/>
      <c r="CC463" s="32"/>
      <c r="CD463" s="32"/>
      <c r="CE463" s="32"/>
      <c r="CF463" s="32"/>
      <c r="CG463" s="32"/>
      <c r="CH463" s="32"/>
      <c r="CI463" s="32"/>
      <c r="CJ463" s="32"/>
      <c r="CK463" s="32"/>
      <c r="CL463" s="32"/>
      <c r="CM463" s="32"/>
      <c r="CN463" s="32"/>
      <c r="CO463" s="32"/>
      <c r="CP463" s="32"/>
      <c r="CQ463" s="32"/>
      <c r="CR463" s="32"/>
      <c r="CS463" s="32"/>
      <c r="CT463" s="32"/>
      <c r="CU463" s="32"/>
      <c r="CV463" s="32"/>
      <c r="CW463" s="32"/>
      <c r="CX463" s="32"/>
      <c r="CY463" s="32"/>
      <c r="CZ463" s="32"/>
      <c r="DA463" s="32"/>
      <c r="DB463" s="32"/>
      <c r="DC463" s="32"/>
      <c r="DD463" s="32"/>
      <c r="DE463" s="32"/>
      <c r="DF463" s="32"/>
      <c r="DG463" s="32"/>
      <c r="DH463" s="32"/>
      <c r="DI463" s="32"/>
      <c r="DJ463" s="32"/>
      <c r="DK463" s="32"/>
      <c r="DL463" s="32"/>
      <c r="DM463" s="32"/>
      <c r="DN463" s="32"/>
      <c r="DO463" s="32"/>
      <c r="DP463" s="32"/>
      <c r="DQ463" s="32"/>
      <c r="DR463" s="32"/>
      <c r="DS463" s="32"/>
      <c r="DT463" s="32"/>
      <c r="DU463" s="32"/>
      <c r="DV463" s="32"/>
      <c r="DW463" s="32"/>
      <c r="DX463" s="32"/>
      <c r="DY463" s="32"/>
      <c r="DZ463" s="32"/>
      <c r="EA463" s="32"/>
      <c r="EB463" s="32"/>
      <c r="EC463" s="32"/>
    </row>
    <row r="464" spans="1:133" s="13" customFormat="1" ht="94.5" x14ac:dyDescent="0.25">
      <c r="A464" s="105" t="s">
        <v>869</v>
      </c>
      <c r="B464" s="110" t="s">
        <v>870</v>
      </c>
      <c r="C464" s="119" t="s">
        <v>921</v>
      </c>
      <c r="D464" s="110" t="s">
        <v>904</v>
      </c>
      <c r="E464" s="110">
        <v>4.3</v>
      </c>
      <c r="F464" s="110">
        <v>4.3</v>
      </c>
      <c r="G464" s="103" t="s">
        <v>927</v>
      </c>
      <c r="H464" s="103" t="s">
        <v>1594</v>
      </c>
      <c r="I464" s="103" t="s">
        <v>928</v>
      </c>
      <c r="J464" s="103" t="s">
        <v>1683</v>
      </c>
      <c r="K464" s="56">
        <v>0</v>
      </c>
      <c r="L464" s="86">
        <v>50</v>
      </c>
      <c r="M464" s="108" t="s">
        <v>337</v>
      </c>
      <c r="N464" s="56" t="s">
        <v>369</v>
      </c>
      <c r="O464" s="54" t="s">
        <v>908</v>
      </c>
      <c r="P464" s="58" t="s">
        <v>39</v>
      </c>
      <c r="Q464" s="171" t="s">
        <v>1680</v>
      </c>
      <c r="R464" s="182">
        <v>0</v>
      </c>
      <c r="S464" s="178">
        <v>10</v>
      </c>
      <c r="T464" s="178">
        <v>20</v>
      </c>
      <c r="U464" s="183">
        <v>20</v>
      </c>
      <c r="V464" s="59"/>
      <c r="W464" s="60"/>
      <c r="X464" s="60"/>
      <c r="Y464" s="60"/>
      <c r="Z464" s="60"/>
      <c r="AA464" s="61"/>
      <c r="AB464" s="62">
        <v>180000000</v>
      </c>
      <c r="AC464" s="60"/>
      <c r="AD464" s="60"/>
      <c r="AE464" s="60"/>
      <c r="AF464" s="60"/>
      <c r="AG464" s="60"/>
      <c r="AH464" s="63"/>
      <c r="AI464" s="62">
        <v>180000000</v>
      </c>
      <c r="AJ464" s="60"/>
      <c r="AK464" s="60"/>
      <c r="AL464" s="60"/>
      <c r="AM464" s="60"/>
      <c r="AN464" s="60"/>
      <c r="AO464" s="63"/>
      <c r="AP464" s="62">
        <v>180000000</v>
      </c>
      <c r="AQ464" s="60"/>
      <c r="AR464" s="60"/>
      <c r="AS464" s="60"/>
      <c r="AT464" s="60"/>
      <c r="AU464" s="60"/>
      <c r="AV464" s="64"/>
      <c r="AW464" s="55">
        <f t="shared" si="41"/>
        <v>0</v>
      </c>
      <c r="AX464" s="55">
        <f t="shared" si="42"/>
        <v>180000000</v>
      </c>
      <c r="AY464" s="55">
        <f t="shared" si="43"/>
        <v>180000000</v>
      </c>
      <c r="AZ464" s="55">
        <f t="shared" si="44"/>
        <v>180000000</v>
      </c>
      <c r="BA464" s="55">
        <f t="shared" si="45"/>
        <v>540000000</v>
      </c>
      <c r="BB464" s="32"/>
      <c r="BC464" s="32"/>
      <c r="BD464" s="32"/>
      <c r="BE464" s="32"/>
      <c r="BF464" s="32"/>
      <c r="BG464" s="32"/>
      <c r="BH464" s="32"/>
      <c r="BI464" s="32"/>
      <c r="BJ464" s="32"/>
      <c r="BK464" s="32"/>
      <c r="BL464" s="32"/>
      <c r="BM464" s="32"/>
      <c r="BN464" s="32"/>
      <c r="BO464" s="32"/>
      <c r="BP464" s="32"/>
      <c r="BQ464" s="32"/>
      <c r="BR464" s="32"/>
      <c r="BS464" s="32"/>
      <c r="BT464" s="32"/>
      <c r="BU464" s="32"/>
      <c r="BV464" s="32"/>
      <c r="BW464" s="32"/>
      <c r="BX464" s="32"/>
      <c r="BY464" s="32"/>
      <c r="BZ464" s="32"/>
      <c r="CA464" s="32"/>
      <c r="CB464" s="32"/>
      <c r="CC464" s="32"/>
      <c r="CD464" s="32"/>
      <c r="CE464" s="32"/>
      <c r="CF464" s="32"/>
      <c r="CG464" s="32"/>
      <c r="CH464" s="32"/>
      <c r="CI464" s="32"/>
      <c r="CJ464" s="32"/>
      <c r="CK464" s="32"/>
      <c r="CL464" s="32"/>
      <c r="CM464" s="32"/>
      <c r="CN464" s="32"/>
      <c r="CO464" s="32"/>
      <c r="CP464" s="32"/>
      <c r="CQ464" s="32"/>
      <c r="CR464" s="32"/>
      <c r="CS464" s="32"/>
      <c r="CT464" s="32"/>
      <c r="CU464" s="32"/>
      <c r="CV464" s="32"/>
      <c r="CW464" s="32"/>
      <c r="CX464" s="32"/>
      <c r="CY464" s="32"/>
      <c r="CZ464" s="32"/>
      <c r="DA464" s="32"/>
      <c r="DB464" s="32"/>
      <c r="DC464" s="32"/>
      <c r="DD464" s="32"/>
      <c r="DE464" s="32"/>
      <c r="DF464" s="32"/>
      <c r="DG464" s="32"/>
      <c r="DH464" s="32"/>
      <c r="DI464" s="32"/>
      <c r="DJ464" s="32"/>
      <c r="DK464" s="32"/>
      <c r="DL464" s="32"/>
      <c r="DM464" s="32"/>
      <c r="DN464" s="32"/>
      <c r="DO464" s="32"/>
      <c r="DP464" s="32"/>
      <c r="DQ464" s="32"/>
      <c r="DR464" s="32"/>
      <c r="DS464" s="32"/>
      <c r="DT464" s="32"/>
      <c r="DU464" s="32"/>
      <c r="DV464" s="32"/>
      <c r="DW464" s="32"/>
      <c r="DX464" s="32"/>
      <c r="DY464" s="32"/>
      <c r="DZ464" s="32"/>
      <c r="EA464" s="32"/>
      <c r="EB464" s="32"/>
      <c r="EC464" s="32"/>
    </row>
    <row r="465" spans="1:133" s="13" customFormat="1" ht="78.75" x14ac:dyDescent="0.25">
      <c r="A465" s="105" t="s">
        <v>869</v>
      </c>
      <c r="B465" s="119" t="s">
        <v>929</v>
      </c>
      <c r="C465" s="118" t="s">
        <v>930</v>
      </c>
      <c r="D465" s="127" t="s">
        <v>931</v>
      </c>
      <c r="E465" s="127">
        <v>3.1</v>
      </c>
      <c r="F465" s="127">
        <v>2.9</v>
      </c>
      <c r="G465" s="110" t="s">
        <v>932</v>
      </c>
      <c r="H465" s="110" t="s">
        <v>1595</v>
      </c>
      <c r="I465" s="103" t="s">
        <v>933</v>
      </c>
      <c r="J465" s="103" t="s">
        <v>1684</v>
      </c>
      <c r="K465" s="56">
        <v>300</v>
      </c>
      <c r="L465" s="86">
        <v>67</v>
      </c>
      <c r="M465" s="103" t="s">
        <v>835</v>
      </c>
      <c r="N465" s="56" t="s">
        <v>187</v>
      </c>
      <c r="O465" s="54" t="s">
        <v>934</v>
      </c>
      <c r="P465" s="58" t="s">
        <v>39</v>
      </c>
      <c r="Q465" s="171" t="s">
        <v>1680</v>
      </c>
      <c r="R465" s="182">
        <v>4</v>
      </c>
      <c r="S465" s="178">
        <v>10</v>
      </c>
      <c r="T465" s="178">
        <v>23</v>
      </c>
      <c r="U465" s="183">
        <v>30</v>
      </c>
      <c r="V465" s="59">
        <v>170000000000</v>
      </c>
      <c r="W465" s="60"/>
      <c r="X465" s="60"/>
      <c r="Y465" s="60"/>
      <c r="Z465" s="60">
        <v>50000000000</v>
      </c>
      <c r="AA465" s="61"/>
      <c r="AB465" s="62"/>
      <c r="AC465" s="60"/>
      <c r="AD465" s="60"/>
      <c r="AE465" s="60"/>
      <c r="AF465" s="60">
        <v>9973500000</v>
      </c>
      <c r="AG465" s="60"/>
      <c r="AH465" s="63"/>
      <c r="AI465" s="62"/>
      <c r="AJ465" s="60"/>
      <c r="AK465" s="60"/>
      <c r="AL465" s="60"/>
      <c r="AM465" s="60">
        <v>25117500000</v>
      </c>
      <c r="AN465" s="60"/>
      <c r="AO465" s="63"/>
      <c r="AP465" s="62"/>
      <c r="AQ465" s="60"/>
      <c r="AR465" s="60"/>
      <c r="AS465" s="60"/>
      <c r="AT465" s="60">
        <v>19692000000</v>
      </c>
      <c r="AU465" s="60"/>
      <c r="AV465" s="64"/>
      <c r="AW465" s="55">
        <f t="shared" si="41"/>
        <v>220000000000</v>
      </c>
      <c r="AX465" s="55">
        <f t="shared" si="42"/>
        <v>9973500000</v>
      </c>
      <c r="AY465" s="55">
        <f t="shared" si="43"/>
        <v>25117500000</v>
      </c>
      <c r="AZ465" s="55">
        <f t="shared" si="44"/>
        <v>19692000000</v>
      </c>
      <c r="BA465" s="55">
        <f t="shared" si="45"/>
        <v>274783000000</v>
      </c>
      <c r="BB465" s="32"/>
      <c r="BC465" s="32"/>
      <c r="BD465" s="32"/>
      <c r="BE465" s="32"/>
      <c r="BF465" s="32"/>
      <c r="BG465" s="32"/>
      <c r="BH465" s="32"/>
      <c r="BI465" s="32"/>
      <c r="BJ465" s="32"/>
      <c r="BK465" s="32"/>
      <c r="BL465" s="32"/>
      <c r="BM465" s="32"/>
      <c r="BN465" s="32"/>
      <c r="BO465" s="32"/>
      <c r="BP465" s="32"/>
      <c r="BQ465" s="32"/>
      <c r="BR465" s="32"/>
      <c r="BS465" s="32"/>
      <c r="BT465" s="32"/>
      <c r="BU465" s="32"/>
      <c r="BV465" s="32"/>
      <c r="BW465" s="32"/>
      <c r="BX465" s="32"/>
      <c r="BY465" s="32"/>
      <c r="BZ465" s="32"/>
      <c r="CA465" s="32"/>
      <c r="CB465" s="32"/>
      <c r="CC465" s="32"/>
      <c r="CD465" s="32"/>
      <c r="CE465" s="32"/>
      <c r="CF465" s="32"/>
      <c r="CG465" s="32"/>
      <c r="CH465" s="32"/>
      <c r="CI465" s="32"/>
      <c r="CJ465" s="32"/>
      <c r="CK465" s="32"/>
      <c r="CL465" s="32"/>
      <c r="CM465" s="32"/>
      <c r="CN465" s="32"/>
      <c r="CO465" s="32"/>
      <c r="CP465" s="32"/>
      <c r="CQ465" s="32"/>
      <c r="CR465" s="32"/>
      <c r="CS465" s="32"/>
      <c r="CT465" s="32"/>
      <c r="CU465" s="32"/>
      <c r="CV465" s="32"/>
      <c r="CW465" s="32"/>
      <c r="CX465" s="32"/>
      <c r="CY465" s="32"/>
      <c r="CZ465" s="32"/>
      <c r="DA465" s="32"/>
      <c r="DB465" s="32"/>
      <c r="DC465" s="32"/>
      <c r="DD465" s="32"/>
      <c r="DE465" s="32"/>
      <c r="DF465" s="32"/>
      <c r="DG465" s="32"/>
      <c r="DH465" s="32"/>
      <c r="DI465" s="32"/>
      <c r="DJ465" s="32"/>
      <c r="DK465" s="32"/>
      <c r="DL465" s="32"/>
      <c r="DM465" s="32"/>
      <c r="DN465" s="32"/>
      <c r="DO465" s="32"/>
      <c r="DP465" s="32"/>
      <c r="DQ465" s="32"/>
      <c r="DR465" s="32"/>
      <c r="DS465" s="32"/>
      <c r="DT465" s="32"/>
      <c r="DU465" s="32"/>
      <c r="DV465" s="32"/>
      <c r="DW465" s="32"/>
      <c r="DX465" s="32"/>
      <c r="DY465" s="32"/>
      <c r="DZ465" s="32"/>
      <c r="EA465" s="32"/>
      <c r="EB465" s="32"/>
      <c r="EC465" s="32"/>
    </row>
    <row r="466" spans="1:133" s="13" customFormat="1" ht="78.75" x14ac:dyDescent="0.25">
      <c r="A466" s="105" t="s">
        <v>869</v>
      </c>
      <c r="B466" s="119" t="s">
        <v>929</v>
      </c>
      <c r="C466" s="118" t="s">
        <v>930</v>
      </c>
      <c r="D466" s="127" t="s">
        <v>931</v>
      </c>
      <c r="E466" s="127">
        <v>3.1</v>
      </c>
      <c r="F466" s="127">
        <v>2.9</v>
      </c>
      <c r="G466" s="110" t="s">
        <v>932</v>
      </c>
      <c r="H466" s="110" t="s">
        <v>1596</v>
      </c>
      <c r="I466" s="103" t="s">
        <v>935</v>
      </c>
      <c r="J466" s="103" t="s">
        <v>1682</v>
      </c>
      <c r="K466" s="178">
        <v>0</v>
      </c>
      <c r="L466" s="179">
        <v>100</v>
      </c>
      <c r="M466" s="103" t="s">
        <v>835</v>
      </c>
      <c r="N466" s="56" t="s">
        <v>187</v>
      </c>
      <c r="O466" s="54" t="s">
        <v>934</v>
      </c>
      <c r="P466" s="58" t="s">
        <v>39</v>
      </c>
      <c r="Q466" s="171" t="s">
        <v>1680</v>
      </c>
      <c r="R466" s="182">
        <v>0</v>
      </c>
      <c r="S466" s="178">
        <v>20</v>
      </c>
      <c r="T466" s="178">
        <v>30</v>
      </c>
      <c r="U466" s="183">
        <v>50</v>
      </c>
      <c r="V466" s="59"/>
      <c r="W466" s="60"/>
      <c r="X466" s="60"/>
      <c r="Y466" s="60"/>
      <c r="Z466" s="60"/>
      <c r="AA466" s="61"/>
      <c r="AB466" s="62"/>
      <c r="AC466" s="60"/>
      <c r="AD466" s="60"/>
      <c r="AE466" s="60"/>
      <c r="AF466" s="60">
        <v>9973500000</v>
      </c>
      <c r="AG466" s="60"/>
      <c r="AH466" s="63"/>
      <c r="AI466" s="62"/>
      <c r="AJ466" s="60"/>
      <c r="AK466" s="60"/>
      <c r="AL466" s="60"/>
      <c r="AM466" s="60">
        <v>25117500000</v>
      </c>
      <c r="AN466" s="60"/>
      <c r="AO466" s="63"/>
      <c r="AP466" s="62"/>
      <c r="AQ466" s="60"/>
      <c r="AR466" s="60"/>
      <c r="AS466" s="60"/>
      <c r="AT466" s="60">
        <v>19692000000</v>
      </c>
      <c r="AU466" s="60"/>
      <c r="AV466" s="64"/>
      <c r="AW466" s="55">
        <f t="shared" si="41"/>
        <v>0</v>
      </c>
      <c r="AX466" s="55">
        <f t="shared" si="42"/>
        <v>9973500000</v>
      </c>
      <c r="AY466" s="55">
        <f t="shared" si="43"/>
        <v>25117500000</v>
      </c>
      <c r="AZ466" s="55">
        <f t="shared" si="44"/>
        <v>19692000000</v>
      </c>
      <c r="BA466" s="55">
        <f t="shared" si="45"/>
        <v>54783000000</v>
      </c>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row>
    <row r="467" spans="1:133" s="13" customFormat="1" ht="78.75" x14ac:dyDescent="0.25">
      <c r="A467" s="105" t="s">
        <v>869</v>
      </c>
      <c r="B467" s="119" t="s">
        <v>929</v>
      </c>
      <c r="C467" s="118" t="s">
        <v>930</v>
      </c>
      <c r="D467" s="127" t="s">
        <v>931</v>
      </c>
      <c r="E467" s="127">
        <v>3.1</v>
      </c>
      <c r="F467" s="127">
        <v>2.9</v>
      </c>
      <c r="G467" s="103" t="s">
        <v>936</v>
      </c>
      <c r="H467" s="103" t="s">
        <v>1597</v>
      </c>
      <c r="I467" s="103" t="s">
        <v>937</v>
      </c>
      <c r="J467" s="103" t="s">
        <v>1682</v>
      </c>
      <c r="K467" s="178">
        <v>100</v>
      </c>
      <c r="L467" s="179">
        <v>100</v>
      </c>
      <c r="M467" s="103" t="s">
        <v>814</v>
      </c>
      <c r="N467" s="56" t="s">
        <v>164</v>
      </c>
      <c r="O467" s="54" t="s">
        <v>934</v>
      </c>
      <c r="P467" s="58" t="s">
        <v>42</v>
      </c>
      <c r="Q467" s="54" t="s">
        <v>1679</v>
      </c>
      <c r="R467" s="182">
        <v>100</v>
      </c>
      <c r="S467" s="178">
        <v>100</v>
      </c>
      <c r="T467" s="178">
        <v>100</v>
      </c>
      <c r="U467" s="183">
        <v>100</v>
      </c>
      <c r="V467" s="59">
        <v>12600000000</v>
      </c>
      <c r="W467" s="60"/>
      <c r="X467" s="60"/>
      <c r="Y467" s="60"/>
      <c r="Z467" s="60"/>
      <c r="AA467" s="61"/>
      <c r="AB467" s="62">
        <v>9000000000</v>
      </c>
      <c r="AC467" s="60"/>
      <c r="AD467" s="60"/>
      <c r="AE467" s="60"/>
      <c r="AF467" s="60"/>
      <c r="AG467" s="60"/>
      <c r="AH467" s="63"/>
      <c r="AI467" s="62">
        <v>8650000000</v>
      </c>
      <c r="AJ467" s="60"/>
      <c r="AK467" s="60"/>
      <c r="AL467" s="60"/>
      <c r="AM467" s="60"/>
      <c r="AN467" s="60"/>
      <c r="AO467" s="63"/>
      <c r="AP467" s="62">
        <v>10332000000</v>
      </c>
      <c r="AQ467" s="60"/>
      <c r="AR467" s="60"/>
      <c r="AS467" s="60"/>
      <c r="AT467" s="60"/>
      <c r="AU467" s="60"/>
      <c r="AV467" s="64"/>
      <c r="AW467" s="55">
        <f t="shared" si="41"/>
        <v>12600000000</v>
      </c>
      <c r="AX467" s="55">
        <f t="shared" si="42"/>
        <v>9000000000</v>
      </c>
      <c r="AY467" s="55">
        <f t="shared" si="43"/>
        <v>8650000000</v>
      </c>
      <c r="AZ467" s="55">
        <f t="shared" si="44"/>
        <v>10332000000</v>
      </c>
      <c r="BA467" s="55">
        <f t="shared" si="45"/>
        <v>40582000000</v>
      </c>
      <c r="BB467" s="32"/>
      <c r="BC467" s="32"/>
      <c r="BD467" s="32"/>
      <c r="BE467" s="32"/>
      <c r="BF467" s="32"/>
      <c r="BG467" s="32"/>
      <c r="BH467" s="32"/>
      <c r="BI467" s="32"/>
      <c r="BJ467" s="32"/>
      <c r="BK467" s="32"/>
      <c r="BL467" s="32"/>
      <c r="BM467" s="32"/>
      <c r="BN467" s="32"/>
      <c r="BO467" s="32"/>
      <c r="BP467" s="32"/>
      <c r="BQ467" s="32"/>
      <c r="BR467" s="32"/>
      <c r="BS467" s="32"/>
      <c r="BT467" s="32"/>
      <c r="BU467" s="32"/>
      <c r="BV467" s="32"/>
      <c r="BW467" s="32"/>
      <c r="BX467" s="32"/>
      <c r="BY467" s="32"/>
      <c r="BZ467" s="32"/>
      <c r="CA467" s="32"/>
      <c r="CB467" s="32"/>
      <c r="CC467" s="32"/>
      <c r="CD467" s="32"/>
      <c r="CE467" s="32"/>
      <c r="CF467" s="32"/>
      <c r="CG467" s="32"/>
      <c r="CH467" s="32"/>
      <c r="CI467" s="32"/>
      <c r="CJ467" s="32"/>
      <c r="CK467" s="32"/>
      <c r="CL467" s="32"/>
      <c r="CM467" s="32"/>
      <c r="CN467" s="32"/>
      <c r="CO467" s="32"/>
      <c r="CP467" s="32"/>
      <c r="CQ467" s="32"/>
      <c r="CR467" s="32"/>
      <c r="CS467" s="32"/>
      <c r="CT467" s="32"/>
      <c r="CU467" s="32"/>
      <c r="CV467" s="32"/>
      <c r="CW467" s="32"/>
      <c r="CX467" s="32"/>
      <c r="CY467" s="32"/>
      <c r="CZ467" s="32"/>
      <c r="DA467" s="32"/>
      <c r="DB467" s="32"/>
      <c r="DC467" s="32"/>
      <c r="DD467" s="32"/>
      <c r="DE467" s="32"/>
      <c r="DF467" s="32"/>
      <c r="DG467" s="32"/>
      <c r="DH467" s="32"/>
      <c r="DI467" s="32"/>
      <c r="DJ467" s="32"/>
      <c r="DK467" s="32"/>
      <c r="DL467" s="32"/>
      <c r="DM467" s="32"/>
      <c r="DN467" s="32"/>
      <c r="DO467" s="32"/>
      <c r="DP467" s="32"/>
      <c r="DQ467" s="32"/>
      <c r="DR467" s="32"/>
      <c r="DS467" s="32"/>
      <c r="DT467" s="32"/>
      <c r="DU467" s="32"/>
      <c r="DV467" s="32"/>
      <c r="DW467" s="32"/>
      <c r="DX467" s="32"/>
      <c r="DY467" s="32"/>
      <c r="DZ467" s="32"/>
      <c r="EA467" s="32"/>
      <c r="EB467" s="32"/>
      <c r="EC467" s="32"/>
    </row>
    <row r="468" spans="1:133" s="13" customFormat="1" ht="110.25" x14ac:dyDescent="0.25">
      <c r="A468" s="105" t="s">
        <v>869</v>
      </c>
      <c r="B468" s="119" t="s">
        <v>929</v>
      </c>
      <c r="C468" s="118" t="s">
        <v>930</v>
      </c>
      <c r="D468" s="127" t="s">
        <v>931</v>
      </c>
      <c r="E468" s="127">
        <v>3.1</v>
      </c>
      <c r="F468" s="127">
        <v>2.9</v>
      </c>
      <c r="G468" s="103" t="s">
        <v>938</v>
      </c>
      <c r="H468" s="103" t="s">
        <v>1598</v>
      </c>
      <c r="I468" s="103" t="s">
        <v>939</v>
      </c>
      <c r="J468" s="103" t="s">
        <v>1682</v>
      </c>
      <c r="K468" s="178">
        <v>0</v>
      </c>
      <c r="L468" s="179">
        <v>100</v>
      </c>
      <c r="M468" s="103" t="s">
        <v>814</v>
      </c>
      <c r="N468" s="56" t="s">
        <v>164</v>
      </c>
      <c r="O468" s="54" t="s">
        <v>934</v>
      </c>
      <c r="P468" s="58" t="s">
        <v>39</v>
      </c>
      <c r="Q468" s="171" t="s">
        <v>1680</v>
      </c>
      <c r="R468" s="182">
        <v>0</v>
      </c>
      <c r="S468" s="178">
        <v>0</v>
      </c>
      <c r="T468" s="178">
        <v>20</v>
      </c>
      <c r="U468" s="183">
        <v>80</v>
      </c>
      <c r="V468" s="59">
        <v>0</v>
      </c>
      <c r="W468" s="60"/>
      <c r="X468" s="60"/>
      <c r="Y468" s="60"/>
      <c r="Z468" s="60"/>
      <c r="AA468" s="61"/>
      <c r="AB468" s="62">
        <v>8500000000</v>
      </c>
      <c r="AC468" s="60"/>
      <c r="AD468" s="60"/>
      <c r="AE468" s="60"/>
      <c r="AF468" s="60"/>
      <c r="AG468" s="60"/>
      <c r="AH468" s="63"/>
      <c r="AI468" s="62">
        <v>500000000</v>
      </c>
      <c r="AJ468" s="60"/>
      <c r="AK468" s="60"/>
      <c r="AL468" s="60"/>
      <c r="AM468" s="60"/>
      <c r="AN468" s="60"/>
      <c r="AO468" s="63"/>
      <c r="AP468" s="62">
        <v>600000000</v>
      </c>
      <c r="AQ468" s="60"/>
      <c r="AR468" s="60"/>
      <c r="AS468" s="60"/>
      <c r="AT468" s="60"/>
      <c r="AU468" s="60"/>
      <c r="AV468" s="64"/>
      <c r="AW468" s="55">
        <f t="shared" si="41"/>
        <v>0</v>
      </c>
      <c r="AX468" s="55">
        <f t="shared" si="42"/>
        <v>8500000000</v>
      </c>
      <c r="AY468" s="55">
        <f t="shared" si="43"/>
        <v>500000000</v>
      </c>
      <c r="AZ468" s="55">
        <f t="shared" si="44"/>
        <v>600000000</v>
      </c>
      <c r="BA468" s="55">
        <f t="shared" si="45"/>
        <v>9600000000</v>
      </c>
      <c r="BB468" s="32"/>
      <c r="BC468" s="32"/>
      <c r="BD468" s="32"/>
      <c r="BE468" s="32"/>
      <c r="BF468" s="32"/>
      <c r="BG468" s="32"/>
      <c r="BH468" s="32"/>
      <c r="BI468" s="32"/>
      <c r="BJ468" s="32"/>
      <c r="BK468" s="32"/>
      <c r="BL468" s="32"/>
      <c r="BM468" s="32"/>
      <c r="BN468" s="32"/>
      <c r="BO468" s="32"/>
      <c r="BP468" s="32"/>
      <c r="BQ468" s="32"/>
      <c r="BR468" s="32"/>
      <c r="BS468" s="32"/>
      <c r="BT468" s="32"/>
      <c r="BU468" s="32"/>
      <c r="BV468" s="32"/>
      <c r="BW468" s="32"/>
      <c r="BX468" s="32"/>
      <c r="BY468" s="32"/>
      <c r="BZ468" s="32"/>
      <c r="CA468" s="32"/>
      <c r="CB468" s="32"/>
      <c r="CC468" s="32"/>
      <c r="CD468" s="32"/>
      <c r="CE468" s="32"/>
      <c r="CF468" s="32"/>
      <c r="CG468" s="32"/>
      <c r="CH468" s="32"/>
      <c r="CI468" s="32"/>
      <c r="CJ468" s="32"/>
      <c r="CK468" s="32"/>
      <c r="CL468" s="32"/>
      <c r="CM468" s="32"/>
      <c r="CN468" s="32"/>
      <c r="CO468" s="32"/>
      <c r="CP468" s="32"/>
      <c r="CQ468" s="32"/>
      <c r="CR468" s="32"/>
      <c r="CS468" s="32"/>
      <c r="CT468" s="32"/>
      <c r="CU468" s="32"/>
      <c r="CV468" s="32"/>
      <c r="CW468" s="32"/>
      <c r="CX468" s="32"/>
      <c r="CY468" s="32"/>
      <c r="CZ468" s="32"/>
      <c r="DA468" s="32"/>
      <c r="DB468" s="32"/>
      <c r="DC468" s="32"/>
      <c r="DD468" s="32"/>
      <c r="DE468" s="32"/>
      <c r="DF468" s="32"/>
      <c r="DG468" s="32"/>
      <c r="DH468" s="32"/>
      <c r="DI468" s="32"/>
      <c r="DJ468" s="32"/>
      <c r="DK468" s="32"/>
      <c r="DL468" s="32"/>
      <c r="DM468" s="32"/>
      <c r="DN468" s="32"/>
      <c r="DO468" s="32"/>
      <c r="DP468" s="32"/>
      <c r="DQ468" s="32"/>
      <c r="DR468" s="32"/>
      <c r="DS468" s="32"/>
      <c r="DT468" s="32"/>
      <c r="DU468" s="32"/>
      <c r="DV468" s="32"/>
      <c r="DW468" s="32"/>
      <c r="DX468" s="32"/>
      <c r="DY468" s="32"/>
      <c r="DZ468" s="32"/>
      <c r="EA468" s="32"/>
      <c r="EB468" s="32"/>
      <c r="EC468" s="32"/>
    </row>
    <row r="469" spans="1:133" s="13" customFormat="1" ht="78.75" x14ac:dyDescent="0.25">
      <c r="A469" s="105" t="s">
        <v>869</v>
      </c>
      <c r="B469" s="119" t="s">
        <v>929</v>
      </c>
      <c r="C469" s="118" t="s">
        <v>930</v>
      </c>
      <c r="D469" s="127" t="s">
        <v>931</v>
      </c>
      <c r="E469" s="127">
        <v>3.1</v>
      </c>
      <c r="F469" s="127">
        <v>2.9</v>
      </c>
      <c r="G469" s="103" t="s">
        <v>940</v>
      </c>
      <c r="H469" s="103" t="s">
        <v>1599</v>
      </c>
      <c r="I469" s="103" t="s">
        <v>941</v>
      </c>
      <c r="J469" s="103" t="s">
        <v>1682</v>
      </c>
      <c r="K469" s="178">
        <v>0</v>
      </c>
      <c r="L469" s="179">
        <v>100</v>
      </c>
      <c r="M469" s="103" t="s">
        <v>814</v>
      </c>
      <c r="N469" s="56" t="s">
        <v>164</v>
      </c>
      <c r="O469" s="54" t="s">
        <v>934</v>
      </c>
      <c r="P469" s="58" t="s">
        <v>39</v>
      </c>
      <c r="Q469" s="171" t="s">
        <v>1680</v>
      </c>
      <c r="R469" s="182">
        <v>0</v>
      </c>
      <c r="S469" s="178">
        <v>0</v>
      </c>
      <c r="T469" s="178">
        <v>10</v>
      </c>
      <c r="U469" s="183">
        <v>90</v>
      </c>
      <c r="V469" s="59">
        <v>0</v>
      </c>
      <c r="W469" s="60"/>
      <c r="X469" s="60"/>
      <c r="Y469" s="60"/>
      <c r="Z469" s="60"/>
      <c r="AA469" s="61"/>
      <c r="AB469" s="62">
        <v>1400000000</v>
      </c>
      <c r="AC469" s="60"/>
      <c r="AD469" s="60"/>
      <c r="AE469" s="60"/>
      <c r="AF469" s="60"/>
      <c r="AG469" s="60"/>
      <c r="AH469" s="63"/>
      <c r="AI469" s="62">
        <v>1400000000</v>
      </c>
      <c r="AJ469" s="60"/>
      <c r="AK469" s="60"/>
      <c r="AL469" s="60"/>
      <c r="AM469" s="60"/>
      <c r="AN469" s="60"/>
      <c r="AO469" s="63"/>
      <c r="AP469" s="62">
        <v>0</v>
      </c>
      <c r="AQ469" s="60"/>
      <c r="AR469" s="60"/>
      <c r="AS469" s="60"/>
      <c r="AT469" s="60"/>
      <c r="AU469" s="60"/>
      <c r="AV469" s="64"/>
      <c r="AW469" s="55">
        <f t="shared" si="41"/>
        <v>0</v>
      </c>
      <c r="AX469" s="55">
        <f t="shared" si="42"/>
        <v>1400000000</v>
      </c>
      <c r="AY469" s="55">
        <f t="shared" si="43"/>
        <v>1400000000</v>
      </c>
      <c r="AZ469" s="55">
        <f t="shared" si="44"/>
        <v>0</v>
      </c>
      <c r="BA469" s="55">
        <f t="shared" si="45"/>
        <v>2800000000</v>
      </c>
      <c r="BB469" s="32"/>
      <c r="BC469" s="32"/>
      <c r="BD469" s="32"/>
      <c r="BE469" s="32"/>
      <c r="BF469" s="32"/>
      <c r="BG469" s="32"/>
      <c r="BH469" s="32"/>
      <c r="BI469" s="32"/>
      <c r="BJ469" s="32"/>
      <c r="BK469" s="32"/>
      <c r="BL469" s="32"/>
      <c r="BM469" s="32"/>
      <c r="BN469" s="32"/>
      <c r="BO469" s="32"/>
      <c r="BP469" s="32"/>
      <c r="BQ469" s="32"/>
      <c r="BR469" s="32"/>
      <c r="BS469" s="32"/>
      <c r="BT469" s="32"/>
      <c r="BU469" s="32"/>
      <c r="BV469" s="32"/>
      <c r="BW469" s="32"/>
      <c r="BX469" s="32"/>
      <c r="BY469" s="32"/>
      <c r="BZ469" s="32"/>
      <c r="CA469" s="32"/>
      <c r="CB469" s="32"/>
      <c r="CC469" s="32"/>
      <c r="CD469" s="32"/>
      <c r="CE469" s="32"/>
      <c r="CF469" s="32"/>
      <c r="CG469" s="32"/>
      <c r="CH469" s="32"/>
      <c r="CI469" s="32"/>
      <c r="CJ469" s="32"/>
      <c r="CK469" s="32"/>
      <c r="CL469" s="32"/>
      <c r="CM469" s="32"/>
      <c r="CN469" s="32"/>
      <c r="CO469" s="32"/>
      <c r="CP469" s="32"/>
      <c r="CQ469" s="32"/>
      <c r="CR469" s="32"/>
      <c r="CS469" s="32"/>
      <c r="CT469" s="32"/>
      <c r="CU469" s="32"/>
      <c r="CV469" s="32"/>
      <c r="CW469" s="32"/>
      <c r="CX469" s="32"/>
      <c r="CY469" s="32"/>
      <c r="CZ469" s="32"/>
      <c r="DA469" s="32"/>
      <c r="DB469" s="32"/>
      <c r="DC469" s="32"/>
      <c r="DD469" s="32"/>
      <c r="DE469" s="32"/>
      <c r="DF469" s="32"/>
      <c r="DG469" s="32"/>
      <c r="DH469" s="32"/>
      <c r="DI469" s="32"/>
      <c r="DJ469" s="32"/>
      <c r="DK469" s="32"/>
      <c r="DL469" s="32"/>
      <c r="DM469" s="32"/>
      <c r="DN469" s="32"/>
      <c r="DO469" s="32"/>
      <c r="DP469" s="32"/>
      <c r="DQ469" s="32"/>
      <c r="DR469" s="32"/>
      <c r="DS469" s="32"/>
      <c r="DT469" s="32"/>
      <c r="DU469" s="32"/>
      <c r="DV469" s="32"/>
      <c r="DW469" s="32"/>
      <c r="DX469" s="32"/>
      <c r="DY469" s="32"/>
      <c r="DZ469" s="32"/>
      <c r="EA469" s="32"/>
      <c r="EB469" s="32"/>
      <c r="EC469" s="32"/>
    </row>
    <row r="470" spans="1:133" s="13" customFormat="1" ht="78.75" x14ac:dyDescent="0.25">
      <c r="A470" s="105" t="s">
        <v>869</v>
      </c>
      <c r="B470" s="119" t="s">
        <v>929</v>
      </c>
      <c r="C470" s="118" t="s">
        <v>930</v>
      </c>
      <c r="D470" s="127" t="s">
        <v>931</v>
      </c>
      <c r="E470" s="127">
        <v>3.1</v>
      </c>
      <c r="F470" s="127">
        <v>2.9</v>
      </c>
      <c r="G470" s="103" t="s">
        <v>942</v>
      </c>
      <c r="H470" s="103" t="s">
        <v>1600</v>
      </c>
      <c r="I470" s="103" t="s">
        <v>943</v>
      </c>
      <c r="J470" s="103" t="s">
        <v>1682</v>
      </c>
      <c r="K470" s="178">
        <v>0</v>
      </c>
      <c r="L470" s="179">
        <v>100</v>
      </c>
      <c r="M470" s="103" t="s">
        <v>814</v>
      </c>
      <c r="N470" s="56" t="s">
        <v>164</v>
      </c>
      <c r="O470" s="54" t="s">
        <v>934</v>
      </c>
      <c r="P470" s="58" t="s">
        <v>39</v>
      </c>
      <c r="Q470" s="171" t="s">
        <v>1680</v>
      </c>
      <c r="R470" s="182">
        <v>10</v>
      </c>
      <c r="S470" s="178">
        <v>40</v>
      </c>
      <c r="T470" s="178">
        <v>30</v>
      </c>
      <c r="U470" s="183">
        <v>20</v>
      </c>
      <c r="V470" s="59">
        <v>500000000</v>
      </c>
      <c r="W470" s="60"/>
      <c r="X470" s="60"/>
      <c r="Y470" s="60"/>
      <c r="Z470" s="60"/>
      <c r="AA470" s="61"/>
      <c r="AB470" s="62">
        <v>2550000000</v>
      </c>
      <c r="AC470" s="60"/>
      <c r="AD470" s="60"/>
      <c r="AE470" s="60"/>
      <c r="AF470" s="60"/>
      <c r="AG470" s="60"/>
      <c r="AH470" s="63"/>
      <c r="AI470" s="62">
        <v>555000000</v>
      </c>
      <c r="AJ470" s="60"/>
      <c r="AK470" s="60"/>
      <c r="AL470" s="60"/>
      <c r="AM470" s="60"/>
      <c r="AN470" s="60"/>
      <c r="AO470" s="63"/>
      <c r="AP470" s="62">
        <v>580000000</v>
      </c>
      <c r="AQ470" s="60"/>
      <c r="AR470" s="60"/>
      <c r="AS470" s="60"/>
      <c r="AT470" s="60"/>
      <c r="AU470" s="60"/>
      <c r="AV470" s="64"/>
      <c r="AW470" s="55">
        <f t="shared" si="41"/>
        <v>500000000</v>
      </c>
      <c r="AX470" s="55">
        <f t="shared" si="42"/>
        <v>2550000000</v>
      </c>
      <c r="AY470" s="55">
        <f t="shared" si="43"/>
        <v>555000000</v>
      </c>
      <c r="AZ470" s="55">
        <f t="shared" si="44"/>
        <v>580000000</v>
      </c>
      <c r="BA470" s="55">
        <f t="shared" si="45"/>
        <v>4185000000</v>
      </c>
      <c r="BB470" s="32"/>
      <c r="BC470" s="32"/>
      <c r="BD470" s="32"/>
      <c r="BE470" s="32"/>
      <c r="BF470" s="32"/>
      <c r="BG470" s="32"/>
      <c r="BH470" s="32"/>
      <c r="BI470" s="32"/>
      <c r="BJ470" s="32"/>
      <c r="BK470" s="32"/>
      <c r="BL470" s="32"/>
      <c r="BM470" s="32"/>
      <c r="BN470" s="32"/>
      <c r="BO470" s="32"/>
      <c r="BP470" s="32"/>
      <c r="BQ470" s="32"/>
      <c r="BR470" s="32"/>
      <c r="BS470" s="32"/>
      <c r="BT470" s="32"/>
      <c r="BU470" s="32"/>
      <c r="BV470" s="32"/>
      <c r="BW470" s="32"/>
      <c r="BX470" s="32"/>
      <c r="BY470" s="32"/>
      <c r="BZ470" s="32"/>
      <c r="CA470" s="32"/>
      <c r="CB470" s="32"/>
      <c r="CC470" s="32"/>
      <c r="CD470" s="32"/>
      <c r="CE470" s="32"/>
      <c r="CF470" s="32"/>
      <c r="CG470" s="32"/>
      <c r="CH470" s="32"/>
      <c r="CI470" s="32"/>
      <c r="CJ470" s="32"/>
      <c r="CK470" s="32"/>
      <c r="CL470" s="32"/>
      <c r="CM470" s="32"/>
      <c r="CN470" s="32"/>
      <c r="CO470" s="32"/>
      <c r="CP470" s="32"/>
      <c r="CQ470" s="32"/>
      <c r="CR470" s="32"/>
      <c r="CS470" s="32"/>
      <c r="CT470" s="32"/>
      <c r="CU470" s="32"/>
      <c r="CV470" s="32"/>
      <c r="CW470" s="32"/>
      <c r="CX470" s="32"/>
      <c r="CY470" s="32"/>
      <c r="CZ470" s="32"/>
      <c r="DA470" s="32"/>
      <c r="DB470" s="32"/>
      <c r="DC470" s="32"/>
      <c r="DD470" s="32"/>
      <c r="DE470" s="32"/>
      <c r="DF470" s="32"/>
      <c r="DG470" s="32"/>
      <c r="DH470" s="32"/>
      <c r="DI470" s="32"/>
      <c r="DJ470" s="32"/>
      <c r="DK470" s="32"/>
      <c r="DL470" s="32"/>
      <c r="DM470" s="32"/>
      <c r="DN470" s="32"/>
      <c r="DO470" s="32"/>
      <c r="DP470" s="32"/>
      <c r="DQ470" s="32"/>
      <c r="DR470" s="32"/>
      <c r="DS470" s="32"/>
      <c r="DT470" s="32"/>
      <c r="DU470" s="32"/>
      <c r="DV470" s="32"/>
      <c r="DW470" s="32"/>
      <c r="DX470" s="32"/>
      <c r="DY470" s="32"/>
      <c r="DZ470" s="32"/>
      <c r="EA470" s="32"/>
      <c r="EB470" s="32"/>
      <c r="EC470" s="32"/>
    </row>
    <row r="471" spans="1:133" s="13" customFormat="1" ht="78.75" x14ac:dyDescent="0.25">
      <c r="A471" s="105" t="s">
        <v>869</v>
      </c>
      <c r="B471" s="119" t="s">
        <v>929</v>
      </c>
      <c r="C471" s="118" t="s">
        <v>930</v>
      </c>
      <c r="D471" s="127" t="s">
        <v>931</v>
      </c>
      <c r="E471" s="127">
        <v>3.1</v>
      </c>
      <c r="F471" s="127">
        <v>2.9</v>
      </c>
      <c r="G471" s="103" t="s">
        <v>944</v>
      </c>
      <c r="H471" s="103" t="s">
        <v>1601</v>
      </c>
      <c r="I471" s="103" t="s">
        <v>945</v>
      </c>
      <c r="J471" s="103" t="s">
        <v>1696</v>
      </c>
      <c r="K471" s="56">
        <v>29</v>
      </c>
      <c r="L471" s="86">
        <v>20</v>
      </c>
      <c r="M471" s="103" t="s">
        <v>814</v>
      </c>
      <c r="N471" s="56" t="s">
        <v>164</v>
      </c>
      <c r="O471" s="54" t="s">
        <v>934</v>
      </c>
      <c r="P471" s="58" t="s">
        <v>42</v>
      </c>
      <c r="Q471" s="54" t="s">
        <v>1679</v>
      </c>
      <c r="R471" s="182">
        <v>20</v>
      </c>
      <c r="S471" s="178">
        <v>20</v>
      </c>
      <c r="T471" s="178">
        <v>20</v>
      </c>
      <c r="U471" s="183">
        <v>20</v>
      </c>
      <c r="V471" s="59">
        <v>2625000000</v>
      </c>
      <c r="W471" s="60"/>
      <c r="X471" s="60"/>
      <c r="Y471" s="60"/>
      <c r="Z471" s="60"/>
      <c r="AA471" s="61"/>
      <c r="AB471" s="62">
        <v>2625000000</v>
      </c>
      <c r="AC471" s="60"/>
      <c r="AD471" s="60"/>
      <c r="AE471" s="60"/>
      <c r="AF471" s="60"/>
      <c r="AG471" s="60"/>
      <c r="AH471" s="63"/>
      <c r="AI471" s="62">
        <v>2625000000</v>
      </c>
      <c r="AJ471" s="60"/>
      <c r="AK471" s="60"/>
      <c r="AL471" s="60"/>
      <c r="AM471" s="60"/>
      <c r="AN471" s="60"/>
      <c r="AO471" s="63"/>
      <c r="AP471" s="62">
        <v>2625000000</v>
      </c>
      <c r="AQ471" s="60"/>
      <c r="AR471" s="60"/>
      <c r="AS471" s="60"/>
      <c r="AT471" s="60"/>
      <c r="AU471" s="60"/>
      <c r="AV471" s="64"/>
      <c r="AW471" s="55">
        <f t="shared" si="41"/>
        <v>2625000000</v>
      </c>
      <c r="AX471" s="55">
        <f t="shared" si="42"/>
        <v>2625000000</v>
      </c>
      <c r="AY471" s="55">
        <f t="shared" si="43"/>
        <v>2625000000</v>
      </c>
      <c r="AZ471" s="55">
        <f t="shared" si="44"/>
        <v>2625000000</v>
      </c>
      <c r="BA471" s="55">
        <f t="shared" si="45"/>
        <v>10500000000</v>
      </c>
      <c r="BB471" s="32"/>
      <c r="BC471" s="32"/>
      <c r="BD471" s="32"/>
      <c r="BE471" s="32"/>
      <c r="BF471" s="32"/>
      <c r="BG471" s="32"/>
      <c r="BH471" s="32"/>
      <c r="BI471" s="32"/>
      <c r="BJ471" s="32"/>
      <c r="BK471" s="32"/>
      <c r="BL471" s="32"/>
      <c r="BM471" s="32"/>
      <c r="BN471" s="32"/>
      <c r="BO471" s="32"/>
      <c r="BP471" s="32"/>
      <c r="BQ471" s="32"/>
      <c r="BR471" s="32"/>
      <c r="BS471" s="32"/>
      <c r="BT471" s="32"/>
      <c r="BU471" s="32"/>
      <c r="BV471" s="32"/>
      <c r="BW471" s="32"/>
      <c r="BX471" s="32"/>
      <c r="BY471" s="32"/>
      <c r="BZ471" s="32"/>
      <c r="CA471" s="32"/>
      <c r="CB471" s="32"/>
      <c r="CC471" s="32"/>
      <c r="CD471" s="32"/>
      <c r="CE471" s="32"/>
      <c r="CF471" s="32"/>
      <c r="CG471" s="32"/>
      <c r="CH471" s="32"/>
      <c r="CI471" s="32"/>
      <c r="CJ471" s="32"/>
      <c r="CK471" s="32"/>
      <c r="CL471" s="32"/>
      <c r="CM471" s="32"/>
      <c r="CN471" s="32"/>
      <c r="CO471" s="32"/>
      <c r="CP471" s="32"/>
      <c r="CQ471" s="32"/>
      <c r="CR471" s="32"/>
      <c r="CS471" s="32"/>
      <c r="CT471" s="32"/>
      <c r="CU471" s="32"/>
      <c r="CV471" s="32"/>
      <c r="CW471" s="32"/>
      <c r="CX471" s="32"/>
      <c r="CY471" s="32"/>
      <c r="CZ471" s="32"/>
      <c r="DA471" s="32"/>
      <c r="DB471" s="32"/>
      <c r="DC471" s="32"/>
      <c r="DD471" s="32"/>
      <c r="DE471" s="32"/>
      <c r="DF471" s="32"/>
      <c r="DG471" s="32"/>
      <c r="DH471" s="32"/>
      <c r="DI471" s="32"/>
      <c r="DJ471" s="32"/>
      <c r="DK471" s="32"/>
      <c r="DL471" s="32"/>
      <c r="DM471" s="32"/>
      <c r="DN471" s="32"/>
      <c r="DO471" s="32"/>
      <c r="DP471" s="32"/>
      <c r="DQ471" s="32"/>
      <c r="DR471" s="32"/>
      <c r="DS471" s="32"/>
      <c r="DT471" s="32"/>
      <c r="DU471" s="32"/>
      <c r="DV471" s="32"/>
      <c r="DW471" s="32"/>
      <c r="DX471" s="32"/>
      <c r="DY471" s="32"/>
      <c r="DZ471" s="32"/>
      <c r="EA471" s="32"/>
      <c r="EB471" s="32"/>
      <c r="EC471" s="32"/>
    </row>
    <row r="472" spans="1:133" s="13" customFormat="1" ht="78.75" x14ac:dyDescent="0.25">
      <c r="A472" s="105" t="s">
        <v>869</v>
      </c>
      <c r="B472" s="119" t="s">
        <v>929</v>
      </c>
      <c r="C472" s="118" t="s">
        <v>930</v>
      </c>
      <c r="D472" s="127" t="s">
        <v>931</v>
      </c>
      <c r="E472" s="127">
        <v>3.1</v>
      </c>
      <c r="F472" s="127">
        <v>2.9</v>
      </c>
      <c r="G472" s="103" t="s">
        <v>946</v>
      </c>
      <c r="H472" s="103" t="s">
        <v>1602</v>
      </c>
      <c r="I472" s="103" t="s">
        <v>947</v>
      </c>
      <c r="J472" s="103" t="s">
        <v>1683</v>
      </c>
      <c r="K472" s="56">
        <v>7</v>
      </c>
      <c r="L472" s="86">
        <v>30</v>
      </c>
      <c r="M472" s="103" t="s">
        <v>814</v>
      </c>
      <c r="N472" s="56" t="s">
        <v>164</v>
      </c>
      <c r="O472" s="54" t="s">
        <v>934</v>
      </c>
      <c r="P472" s="58" t="s">
        <v>39</v>
      </c>
      <c r="Q472" s="171" t="s">
        <v>1680</v>
      </c>
      <c r="R472" s="182">
        <v>3</v>
      </c>
      <c r="S472" s="178">
        <v>5</v>
      </c>
      <c r="T472" s="178">
        <v>11</v>
      </c>
      <c r="U472" s="183">
        <v>11</v>
      </c>
      <c r="V472" s="59">
        <v>22000000000</v>
      </c>
      <c r="W472" s="60"/>
      <c r="X472" s="60"/>
      <c r="Y472" s="60"/>
      <c r="Z472" s="60"/>
      <c r="AA472" s="61"/>
      <c r="AB472" s="62">
        <v>19200000000</v>
      </c>
      <c r="AC472" s="60"/>
      <c r="AD472" s="60"/>
      <c r="AE472" s="60"/>
      <c r="AF472" s="60"/>
      <c r="AG472" s="60"/>
      <c r="AH472" s="63"/>
      <c r="AI472" s="62">
        <v>9200000000</v>
      </c>
      <c r="AJ472" s="60"/>
      <c r="AK472" s="60"/>
      <c r="AL472" s="60"/>
      <c r="AM472" s="60"/>
      <c r="AN472" s="60"/>
      <c r="AO472" s="63"/>
      <c r="AP472" s="62">
        <v>200000000</v>
      </c>
      <c r="AQ472" s="60"/>
      <c r="AR472" s="60"/>
      <c r="AS472" s="60"/>
      <c r="AT472" s="60"/>
      <c r="AU472" s="60"/>
      <c r="AV472" s="64"/>
      <c r="AW472" s="55">
        <f t="shared" si="41"/>
        <v>22000000000</v>
      </c>
      <c r="AX472" s="55">
        <f t="shared" si="42"/>
        <v>19200000000</v>
      </c>
      <c r="AY472" s="55">
        <f t="shared" si="43"/>
        <v>9200000000</v>
      </c>
      <c r="AZ472" s="55">
        <f t="shared" si="44"/>
        <v>200000000</v>
      </c>
      <c r="BA472" s="55">
        <f t="shared" si="45"/>
        <v>50600000000</v>
      </c>
      <c r="BB472" s="32"/>
      <c r="BC472" s="32"/>
      <c r="BD472" s="32"/>
      <c r="BE472" s="32"/>
      <c r="BF472" s="32"/>
      <c r="BG472" s="32"/>
      <c r="BH472" s="32"/>
      <c r="BI472" s="32"/>
      <c r="BJ472" s="32"/>
      <c r="BK472" s="32"/>
      <c r="BL472" s="32"/>
      <c r="BM472" s="32"/>
      <c r="BN472" s="32"/>
      <c r="BO472" s="32"/>
      <c r="BP472" s="32"/>
      <c r="BQ472" s="32"/>
      <c r="BR472" s="32"/>
      <c r="BS472" s="32"/>
      <c r="BT472" s="32"/>
      <c r="BU472" s="32"/>
      <c r="BV472" s="32"/>
      <c r="BW472" s="32"/>
      <c r="BX472" s="32"/>
      <c r="BY472" s="32"/>
      <c r="BZ472" s="32"/>
      <c r="CA472" s="32"/>
      <c r="CB472" s="32"/>
      <c r="CC472" s="32"/>
      <c r="CD472" s="32"/>
      <c r="CE472" s="32"/>
      <c r="CF472" s="32"/>
      <c r="CG472" s="32"/>
      <c r="CH472" s="32"/>
      <c r="CI472" s="32"/>
      <c r="CJ472" s="32"/>
      <c r="CK472" s="32"/>
      <c r="CL472" s="32"/>
      <c r="CM472" s="32"/>
      <c r="CN472" s="32"/>
      <c r="CO472" s="32"/>
      <c r="CP472" s="32"/>
      <c r="CQ472" s="32"/>
      <c r="CR472" s="32"/>
      <c r="CS472" s="32"/>
      <c r="CT472" s="32"/>
      <c r="CU472" s="32"/>
      <c r="CV472" s="32"/>
      <c r="CW472" s="32"/>
      <c r="CX472" s="32"/>
      <c r="CY472" s="32"/>
      <c r="CZ472" s="32"/>
      <c r="DA472" s="32"/>
      <c r="DB472" s="32"/>
      <c r="DC472" s="32"/>
      <c r="DD472" s="32"/>
      <c r="DE472" s="32"/>
      <c r="DF472" s="32"/>
      <c r="DG472" s="32"/>
      <c r="DH472" s="32"/>
      <c r="DI472" s="32"/>
      <c r="DJ472" s="32"/>
      <c r="DK472" s="32"/>
      <c r="DL472" s="32"/>
      <c r="DM472" s="32"/>
      <c r="DN472" s="32"/>
      <c r="DO472" s="32"/>
      <c r="DP472" s="32"/>
      <c r="DQ472" s="32"/>
      <c r="DR472" s="32"/>
      <c r="DS472" s="32"/>
      <c r="DT472" s="32"/>
      <c r="DU472" s="32"/>
      <c r="DV472" s="32"/>
      <c r="DW472" s="32"/>
      <c r="DX472" s="32"/>
      <c r="DY472" s="32"/>
      <c r="DZ472" s="32"/>
      <c r="EA472" s="32"/>
      <c r="EB472" s="32"/>
      <c r="EC472" s="32"/>
    </row>
    <row r="473" spans="1:133" s="13" customFormat="1" ht="78.75" x14ac:dyDescent="0.25">
      <c r="A473" s="105" t="s">
        <v>869</v>
      </c>
      <c r="B473" s="119" t="s">
        <v>929</v>
      </c>
      <c r="C473" s="118" t="s">
        <v>930</v>
      </c>
      <c r="D473" s="127" t="s">
        <v>931</v>
      </c>
      <c r="E473" s="127">
        <v>3.1</v>
      </c>
      <c r="F473" s="127">
        <v>2.9</v>
      </c>
      <c r="G473" s="110" t="s">
        <v>948</v>
      </c>
      <c r="H473" s="110" t="s">
        <v>1603</v>
      </c>
      <c r="I473" s="103" t="s">
        <v>949</v>
      </c>
      <c r="J473" s="103" t="s">
        <v>1683</v>
      </c>
      <c r="K473" s="56">
        <v>231</v>
      </c>
      <c r="L473" s="86">
        <v>50</v>
      </c>
      <c r="M473" s="103" t="s">
        <v>814</v>
      </c>
      <c r="N473" s="56" t="s">
        <v>164</v>
      </c>
      <c r="O473" s="54" t="s">
        <v>934</v>
      </c>
      <c r="P473" s="58" t="s">
        <v>42</v>
      </c>
      <c r="Q473" s="54" t="s">
        <v>1679</v>
      </c>
      <c r="R473" s="182">
        <v>50</v>
      </c>
      <c r="S473" s="178">
        <v>50</v>
      </c>
      <c r="T473" s="178">
        <v>50</v>
      </c>
      <c r="U473" s="183">
        <v>50</v>
      </c>
      <c r="V473" s="59">
        <f>15000000000/4</f>
        <v>3750000000</v>
      </c>
      <c r="W473" s="60"/>
      <c r="X473" s="60"/>
      <c r="Y473" s="60"/>
      <c r="Z473" s="60"/>
      <c r="AA473" s="61"/>
      <c r="AB473" s="62">
        <f>15000000000/4</f>
        <v>3750000000</v>
      </c>
      <c r="AC473" s="60"/>
      <c r="AD473" s="60"/>
      <c r="AE473" s="60"/>
      <c r="AF473" s="60"/>
      <c r="AG473" s="60"/>
      <c r="AH473" s="63"/>
      <c r="AI473" s="62">
        <f>10000000000/4</f>
        <v>2500000000</v>
      </c>
      <c r="AJ473" s="60"/>
      <c r="AK473" s="60"/>
      <c r="AL473" s="60"/>
      <c r="AM473" s="60"/>
      <c r="AN473" s="60"/>
      <c r="AO473" s="63"/>
      <c r="AP473" s="62">
        <f>12000000000/3</f>
        <v>4000000000</v>
      </c>
      <c r="AQ473" s="60"/>
      <c r="AR473" s="60"/>
      <c r="AS473" s="60"/>
      <c r="AT473" s="60"/>
      <c r="AU473" s="60"/>
      <c r="AV473" s="64"/>
      <c r="AW473" s="55">
        <f t="shared" si="41"/>
        <v>3750000000</v>
      </c>
      <c r="AX473" s="55">
        <f t="shared" si="42"/>
        <v>3750000000</v>
      </c>
      <c r="AY473" s="55">
        <f t="shared" si="43"/>
        <v>2500000000</v>
      </c>
      <c r="AZ473" s="55">
        <f t="shared" si="44"/>
        <v>4000000000</v>
      </c>
      <c r="BA473" s="55">
        <f t="shared" si="45"/>
        <v>14000000000</v>
      </c>
      <c r="BB473" s="32"/>
      <c r="BC473" s="32"/>
      <c r="BD473" s="32"/>
      <c r="BE473" s="32"/>
      <c r="BF473" s="32"/>
      <c r="BG473" s="32"/>
      <c r="BH473" s="32"/>
      <c r="BI473" s="32"/>
      <c r="BJ473" s="32"/>
      <c r="BK473" s="32"/>
      <c r="BL473" s="32"/>
      <c r="BM473" s="32"/>
      <c r="BN473" s="32"/>
      <c r="BO473" s="32"/>
      <c r="BP473" s="32"/>
      <c r="BQ473" s="32"/>
      <c r="BR473" s="32"/>
      <c r="BS473" s="32"/>
      <c r="BT473" s="32"/>
      <c r="BU473" s="32"/>
      <c r="BV473" s="32"/>
      <c r="BW473" s="32"/>
      <c r="BX473" s="32"/>
      <c r="BY473" s="32"/>
      <c r="BZ473" s="32"/>
      <c r="CA473" s="32"/>
      <c r="CB473" s="32"/>
      <c r="CC473" s="32"/>
      <c r="CD473" s="32"/>
      <c r="CE473" s="32"/>
      <c r="CF473" s="32"/>
      <c r="CG473" s="32"/>
      <c r="CH473" s="32"/>
      <c r="CI473" s="32"/>
      <c r="CJ473" s="32"/>
      <c r="CK473" s="32"/>
      <c r="CL473" s="32"/>
      <c r="CM473" s="32"/>
      <c r="CN473" s="32"/>
      <c r="CO473" s="32"/>
      <c r="CP473" s="32"/>
      <c r="CQ473" s="32"/>
      <c r="CR473" s="32"/>
      <c r="CS473" s="32"/>
      <c r="CT473" s="32"/>
      <c r="CU473" s="32"/>
      <c r="CV473" s="32"/>
      <c r="CW473" s="32"/>
      <c r="CX473" s="32"/>
      <c r="CY473" s="32"/>
      <c r="CZ473" s="32"/>
      <c r="DA473" s="32"/>
      <c r="DB473" s="32"/>
      <c r="DC473" s="32"/>
      <c r="DD473" s="32"/>
      <c r="DE473" s="32"/>
      <c r="DF473" s="32"/>
      <c r="DG473" s="32"/>
      <c r="DH473" s="32"/>
      <c r="DI473" s="32"/>
      <c r="DJ473" s="32"/>
      <c r="DK473" s="32"/>
      <c r="DL473" s="32"/>
      <c r="DM473" s="32"/>
      <c r="DN473" s="32"/>
      <c r="DO473" s="32"/>
      <c r="DP473" s="32"/>
      <c r="DQ473" s="32"/>
      <c r="DR473" s="32"/>
      <c r="DS473" s="32"/>
      <c r="DT473" s="32"/>
      <c r="DU473" s="32"/>
      <c r="DV473" s="32"/>
      <c r="DW473" s="32"/>
      <c r="DX473" s="32"/>
      <c r="DY473" s="32"/>
      <c r="DZ473" s="32"/>
      <c r="EA473" s="32"/>
      <c r="EB473" s="32"/>
      <c r="EC473" s="32"/>
    </row>
    <row r="474" spans="1:133" s="13" customFormat="1" ht="78.75" x14ac:dyDescent="0.25">
      <c r="A474" s="105" t="s">
        <v>869</v>
      </c>
      <c r="B474" s="119" t="s">
        <v>929</v>
      </c>
      <c r="C474" s="118" t="s">
        <v>930</v>
      </c>
      <c r="D474" s="127" t="s">
        <v>931</v>
      </c>
      <c r="E474" s="127">
        <v>3.1</v>
      </c>
      <c r="F474" s="127">
        <v>2.9</v>
      </c>
      <c r="G474" s="110" t="s">
        <v>948</v>
      </c>
      <c r="H474" s="110" t="s">
        <v>1604</v>
      </c>
      <c r="I474" s="103" t="s">
        <v>950</v>
      </c>
      <c r="J474" s="103" t="s">
        <v>1697</v>
      </c>
      <c r="K474" s="56">
        <v>302091</v>
      </c>
      <c r="L474" s="86">
        <v>50000</v>
      </c>
      <c r="M474" s="103" t="s">
        <v>814</v>
      </c>
      <c r="N474" s="56" t="s">
        <v>164</v>
      </c>
      <c r="O474" s="54" t="s">
        <v>934</v>
      </c>
      <c r="P474" s="58" t="s">
        <v>39</v>
      </c>
      <c r="Q474" s="171" t="s">
        <v>1680</v>
      </c>
      <c r="R474" s="182">
        <v>50000</v>
      </c>
      <c r="S474" s="178">
        <v>0</v>
      </c>
      <c r="T474" s="178">
        <v>0</v>
      </c>
      <c r="U474" s="183">
        <v>0</v>
      </c>
      <c r="V474" s="59">
        <f>15000000000/4</f>
        <v>3750000000</v>
      </c>
      <c r="W474" s="60"/>
      <c r="X474" s="60"/>
      <c r="Y474" s="60"/>
      <c r="Z474" s="60"/>
      <c r="AA474" s="61"/>
      <c r="AB474" s="62">
        <f>15000000000/4</f>
        <v>3750000000</v>
      </c>
      <c r="AC474" s="60"/>
      <c r="AD474" s="60"/>
      <c r="AE474" s="60"/>
      <c r="AF474" s="60"/>
      <c r="AG474" s="60"/>
      <c r="AH474" s="63"/>
      <c r="AI474" s="62">
        <f>10000000000/4</f>
        <v>2500000000</v>
      </c>
      <c r="AJ474" s="60"/>
      <c r="AK474" s="60"/>
      <c r="AL474" s="60"/>
      <c r="AM474" s="60"/>
      <c r="AN474" s="60"/>
      <c r="AO474" s="63"/>
      <c r="AP474" s="62">
        <f>12000000000/3</f>
        <v>4000000000</v>
      </c>
      <c r="AQ474" s="60"/>
      <c r="AR474" s="60"/>
      <c r="AS474" s="60"/>
      <c r="AT474" s="60"/>
      <c r="AU474" s="60"/>
      <c r="AV474" s="64"/>
      <c r="AW474" s="55">
        <f t="shared" si="41"/>
        <v>3750000000</v>
      </c>
      <c r="AX474" s="55">
        <f t="shared" si="42"/>
        <v>3750000000</v>
      </c>
      <c r="AY474" s="55">
        <f t="shared" si="43"/>
        <v>2500000000</v>
      </c>
      <c r="AZ474" s="55">
        <f t="shared" si="44"/>
        <v>4000000000</v>
      </c>
      <c r="BA474" s="55">
        <f t="shared" si="45"/>
        <v>14000000000</v>
      </c>
      <c r="BB474" s="32"/>
      <c r="BC474" s="32"/>
      <c r="BD474" s="32"/>
      <c r="BE474" s="32"/>
      <c r="BF474" s="32"/>
      <c r="BG474" s="32"/>
      <c r="BH474" s="32"/>
      <c r="BI474" s="32"/>
      <c r="BJ474" s="32"/>
      <c r="BK474" s="32"/>
      <c r="BL474" s="32"/>
      <c r="BM474" s="32"/>
      <c r="BN474" s="32"/>
      <c r="BO474" s="32"/>
      <c r="BP474" s="32"/>
      <c r="BQ474" s="32"/>
      <c r="BR474" s="32"/>
      <c r="BS474" s="32"/>
      <c r="BT474" s="32"/>
      <c r="BU474" s="32"/>
      <c r="BV474" s="32"/>
      <c r="BW474" s="32"/>
      <c r="BX474" s="32"/>
      <c r="BY474" s="32"/>
      <c r="BZ474" s="32"/>
      <c r="CA474" s="32"/>
      <c r="CB474" s="32"/>
      <c r="CC474" s="32"/>
      <c r="CD474" s="32"/>
      <c r="CE474" s="32"/>
      <c r="CF474" s="32"/>
      <c r="CG474" s="32"/>
      <c r="CH474" s="32"/>
      <c r="CI474" s="32"/>
      <c r="CJ474" s="32"/>
      <c r="CK474" s="32"/>
      <c r="CL474" s="32"/>
      <c r="CM474" s="32"/>
      <c r="CN474" s="32"/>
      <c r="CO474" s="32"/>
      <c r="CP474" s="32"/>
      <c r="CQ474" s="32"/>
      <c r="CR474" s="32"/>
      <c r="CS474" s="32"/>
      <c r="CT474" s="32"/>
      <c r="CU474" s="32"/>
      <c r="CV474" s="32"/>
      <c r="CW474" s="32"/>
      <c r="CX474" s="32"/>
      <c r="CY474" s="32"/>
      <c r="CZ474" s="32"/>
      <c r="DA474" s="32"/>
      <c r="DB474" s="32"/>
      <c r="DC474" s="32"/>
      <c r="DD474" s="32"/>
      <c r="DE474" s="32"/>
      <c r="DF474" s="32"/>
      <c r="DG474" s="32"/>
      <c r="DH474" s="32"/>
      <c r="DI474" s="32"/>
      <c r="DJ474" s="32"/>
      <c r="DK474" s="32"/>
      <c r="DL474" s="32"/>
      <c r="DM474" s="32"/>
      <c r="DN474" s="32"/>
      <c r="DO474" s="32"/>
      <c r="DP474" s="32"/>
      <c r="DQ474" s="32"/>
      <c r="DR474" s="32"/>
      <c r="DS474" s="32"/>
      <c r="DT474" s="32"/>
      <c r="DU474" s="32"/>
      <c r="DV474" s="32"/>
      <c r="DW474" s="32"/>
      <c r="DX474" s="32"/>
      <c r="DY474" s="32"/>
      <c r="DZ474" s="32"/>
      <c r="EA474" s="32"/>
      <c r="EB474" s="32"/>
      <c r="EC474" s="32"/>
    </row>
    <row r="475" spans="1:133" s="13" customFormat="1" ht="78.75" x14ac:dyDescent="0.25">
      <c r="A475" s="105" t="s">
        <v>869</v>
      </c>
      <c r="B475" s="119" t="s">
        <v>929</v>
      </c>
      <c r="C475" s="118" t="s">
        <v>930</v>
      </c>
      <c r="D475" s="127" t="s">
        <v>931</v>
      </c>
      <c r="E475" s="127">
        <v>3.1</v>
      </c>
      <c r="F475" s="127">
        <v>2.9</v>
      </c>
      <c r="G475" s="110" t="s">
        <v>948</v>
      </c>
      <c r="H475" s="110" t="s">
        <v>1605</v>
      </c>
      <c r="I475" s="103" t="s">
        <v>951</v>
      </c>
      <c r="J475" s="103" t="s">
        <v>1683</v>
      </c>
      <c r="K475" s="56">
        <v>8553</v>
      </c>
      <c r="L475" s="86">
        <v>2000</v>
      </c>
      <c r="M475" s="103" t="s">
        <v>814</v>
      </c>
      <c r="N475" s="56" t="s">
        <v>164</v>
      </c>
      <c r="O475" s="54" t="s">
        <v>934</v>
      </c>
      <c r="P475" s="58" t="s">
        <v>39</v>
      </c>
      <c r="Q475" s="171" t="s">
        <v>1680</v>
      </c>
      <c r="R475" s="182">
        <v>907</v>
      </c>
      <c r="S475" s="178">
        <v>500</v>
      </c>
      <c r="T475" s="178">
        <v>500</v>
      </c>
      <c r="U475" s="183">
        <v>93</v>
      </c>
      <c r="V475" s="59">
        <f>15000000000/4</f>
        <v>3750000000</v>
      </c>
      <c r="W475" s="60"/>
      <c r="X475" s="60"/>
      <c r="Y475" s="60"/>
      <c r="Z475" s="60"/>
      <c r="AA475" s="61"/>
      <c r="AB475" s="62">
        <f>15000000000/4</f>
        <v>3750000000</v>
      </c>
      <c r="AC475" s="60"/>
      <c r="AD475" s="60"/>
      <c r="AE475" s="60"/>
      <c r="AF475" s="60"/>
      <c r="AG475" s="60"/>
      <c r="AH475" s="63"/>
      <c r="AI475" s="62">
        <f>10000000000/4</f>
        <v>2500000000</v>
      </c>
      <c r="AJ475" s="60"/>
      <c r="AK475" s="60"/>
      <c r="AL475" s="60"/>
      <c r="AM475" s="60"/>
      <c r="AN475" s="60"/>
      <c r="AO475" s="63"/>
      <c r="AP475" s="62">
        <f>12000000000/3</f>
        <v>4000000000</v>
      </c>
      <c r="AQ475" s="60"/>
      <c r="AR475" s="60"/>
      <c r="AS475" s="60"/>
      <c r="AT475" s="60"/>
      <c r="AU475" s="60"/>
      <c r="AV475" s="64"/>
      <c r="AW475" s="55">
        <f t="shared" si="41"/>
        <v>3750000000</v>
      </c>
      <c r="AX475" s="55">
        <f t="shared" si="42"/>
        <v>3750000000</v>
      </c>
      <c r="AY475" s="55">
        <f t="shared" si="43"/>
        <v>2500000000</v>
      </c>
      <c r="AZ475" s="55">
        <f t="shared" si="44"/>
        <v>4000000000</v>
      </c>
      <c r="BA475" s="55">
        <f t="shared" si="45"/>
        <v>14000000000</v>
      </c>
      <c r="BB475" s="32"/>
      <c r="BC475" s="32"/>
      <c r="BD475" s="32"/>
      <c r="BE475" s="32"/>
      <c r="BF475" s="32"/>
      <c r="BG475" s="32"/>
      <c r="BH475" s="32"/>
      <c r="BI475" s="32"/>
      <c r="BJ475" s="32"/>
      <c r="BK475" s="32"/>
      <c r="BL475" s="32"/>
      <c r="BM475" s="32"/>
      <c r="BN475" s="32"/>
      <c r="BO475" s="32"/>
      <c r="BP475" s="32"/>
      <c r="BQ475" s="32"/>
      <c r="BR475" s="32"/>
      <c r="BS475" s="32"/>
      <c r="BT475" s="32"/>
      <c r="BU475" s="32"/>
      <c r="BV475" s="32"/>
      <c r="BW475" s="32"/>
      <c r="BX475" s="32"/>
      <c r="BY475" s="32"/>
      <c r="BZ475" s="32"/>
      <c r="CA475" s="32"/>
      <c r="CB475" s="32"/>
      <c r="CC475" s="32"/>
      <c r="CD475" s="32"/>
      <c r="CE475" s="32"/>
      <c r="CF475" s="32"/>
      <c r="CG475" s="32"/>
      <c r="CH475" s="32"/>
      <c r="CI475" s="32"/>
      <c r="CJ475" s="32"/>
      <c r="CK475" s="32"/>
      <c r="CL475" s="32"/>
      <c r="CM475" s="32"/>
      <c r="CN475" s="32"/>
      <c r="CO475" s="32"/>
      <c r="CP475" s="32"/>
      <c r="CQ475" s="32"/>
      <c r="CR475" s="32"/>
      <c r="CS475" s="32"/>
      <c r="CT475" s="32"/>
      <c r="CU475" s="32"/>
      <c r="CV475" s="32"/>
      <c r="CW475" s="32"/>
      <c r="CX475" s="32"/>
      <c r="CY475" s="32"/>
      <c r="CZ475" s="32"/>
      <c r="DA475" s="32"/>
      <c r="DB475" s="32"/>
      <c r="DC475" s="32"/>
      <c r="DD475" s="32"/>
      <c r="DE475" s="32"/>
      <c r="DF475" s="32"/>
      <c r="DG475" s="32"/>
      <c r="DH475" s="32"/>
      <c r="DI475" s="32"/>
      <c r="DJ475" s="32"/>
      <c r="DK475" s="32"/>
      <c r="DL475" s="32"/>
      <c r="DM475" s="32"/>
      <c r="DN475" s="32"/>
      <c r="DO475" s="32"/>
      <c r="DP475" s="32"/>
      <c r="DQ475" s="32"/>
      <c r="DR475" s="32"/>
      <c r="DS475" s="32"/>
      <c r="DT475" s="32"/>
      <c r="DU475" s="32"/>
      <c r="DV475" s="32"/>
      <c r="DW475" s="32"/>
      <c r="DX475" s="32"/>
      <c r="DY475" s="32"/>
      <c r="DZ475" s="32"/>
      <c r="EA475" s="32"/>
      <c r="EB475" s="32"/>
      <c r="EC475" s="32"/>
    </row>
    <row r="476" spans="1:133" s="13" customFormat="1" ht="78.75" x14ac:dyDescent="0.25">
      <c r="A476" s="105" t="s">
        <v>869</v>
      </c>
      <c r="B476" s="119" t="s">
        <v>929</v>
      </c>
      <c r="C476" s="118" t="s">
        <v>930</v>
      </c>
      <c r="D476" s="127" t="s">
        <v>931</v>
      </c>
      <c r="E476" s="127">
        <v>3.1</v>
      </c>
      <c r="F476" s="127">
        <v>2.9</v>
      </c>
      <c r="G476" s="110" t="s">
        <v>948</v>
      </c>
      <c r="H476" s="110" t="s">
        <v>1606</v>
      </c>
      <c r="I476" s="103" t="s">
        <v>952</v>
      </c>
      <c r="J476" s="103" t="s">
        <v>1684</v>
      </c>
      <c r="K476" s="56">
        <v>21.9</v>
      </c>
      <c r="L476" s="86">
        <v>5</v>
      </c>
      <c r="M476" s="103" t="s">
        <v>814</v>
      </c>
      <c r="N476" s="56" t="s">
        <v>164</v>
      </c>
      <c r="O476" s="54" t="s">
        <v>934</v>
      </c>
      <c r="P476" s="58" t="s">
        <v>39</v>
      </c>
      <c r="Q476" s="171" t="s">
        <v>1680</v>
      </c>
      <c r="R476" s="182">
        <v>5</v>
      </c>
      <c r="S476" s="178">
        <v>0</v>
      </c>
      <c r="T476" s="178">
        <v>0</v>
      </c>
      <c r="U476" s="183">
        <v>0</v>
      </c>
      <c r="V476" s="59">
        <f>15000000000/4</f>
        <v>3750000000</v>
      </c>
      <c r="W476" s="60"/>
      <c r="X476" s="60"/>
      <c r="Y476" s="60"/>
      <c r="Z476" s="60"/>
      <c r="AA476" s="61"/>
      <c r="AB476" s="62"/>
      <c r="AC476" s="60"/>
      <c r="AD476" s="60"/>
      <c r="AE476" s="60"/>
      <c r="AF476" s="60"/>
      <c r="AG476" s="60"/>
      <c r="AH476" s="63"/>
      <c r="AI476" s="62"/>
      <c r="AJ476" s="60"/>
      <c r="AK476" s="60"/>
      <c r="AL476" s="60"/>
      <c r="AM476" s="60"/>
      <c r="AN476" s="60"/>
      <c r="AO476" s="63"/>
      <c r="AP476" s="62"/>
      <c r="AQ476" s="60"/>
      <c r="AR476" s="60"/>
      <c r="AS476" s="60"/>
      <c r="AT476" s="60"/>
      <c r="AU476" s="60"/>
      <c r="AV476" s="64"/>
      <c r="AW476" s="55">
        <f t="shared" si="41"/>
        <v>3750000000</v>
      </c>
      <c r="AX476" s="55">
        <f t="shared" si="42"/>
        <v>0</v>
      </c>
      <c r="AY476" s="55">
        <f t="shared" si="43"/>
        <v>0</v>
      </c>
      <c r="AZ476" s="55">
        <f t="shared" si="44"/>
        <v>0</v>
      </c>
      <c r="BA476" s="55">
        <f t="shared" si="45"/>
        <v>3750000000</v>
      </c>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row>
    <row r="477" spans="1:133" s="13" customFormat="1" ht="78.75" x14ac:dyDescent="0.25">
      <c r="A477" s="105" t="s">
        <v>869</v>
      </c>
      <c r="B477" s="119" t="s">
        <v>929</v>
      </c>
      <c r="C477" s="118" t="s">
        <v>930</v>
      </c>
      <c r="D477" s="127" t="s">
        <v>931</v>
      </c>
      <c r="E477" s="127">
        <v>3.1</v>
      </c>
      <c r="F477" s="127">
        <v>2.9</v>
      </c>
      <c r="G477" s="110" t="s">
        <v>948</v>
      </c>
      <c r="H477" s="110" t="s">
        <v>1607</v>
      </c>
      <c r="I477" s="103" t="s">
        <v>953</v>
      </c>
      <c r="J477" s="103" t="s">
        <v>1684</v>
      </c>
      <c r="K477" s="56">
        <v>0</v>
      </c>
      <c r="L477" s="86">
        <v>4</v>
      </c>
      <c r="M477" s="103" t="s">
        <v>814</v>
      </c>
      <c r="N477" s="56" t="s">
        <v>164</v>
      </c>
      <c r="O477" s="54" t="s">
        <v>934</v>
      </c>
      <c r="P477" s="58" t="s">
        <v>39</v>
      </c>
      <c r="Q477" s="171" t="s">
        <v>1680</v>
      </c>
      <c r="R477" s="182">
        <v>0</v>
      </c>
      <c r="S477" s="178">
        <v>2</v>
      </c>
      <c r="T477" s="178">
        <v>2</v>
      </c>
      <c r="U477" s="183">
        <v>0</v>
      </c>
      <c r="V477" s="59"/>
      <c r="W477" s="60"/>
      <c r="X477" s="60"/>
      <c r="Y477" s="60"/>
      <c r="Z477" s="60"/>
      <c r="AA477" s="61"/>
      <c r="AB477" s="62">
        <f>15000000000/4</f>
        <v>3750000000</v>
      </c>
      <c r="AC477" s="60"/>
      <c r="AD477" s="60"/>
      <c r="AE477" s="60"/>
      <c r="AF477" s="60"/>
      <c r="AG477" s="60"/>
      <c r="AH477" s="63"/>
      <c r="AI477" s="62">
        <f>10000000000/4</f>
        <v>2500000000</v>
      </c>
      <c r="AJ477" s="60"/>
      <c r="AK477" s="60"/>
      <c r="AL477" s="60"/>
      <c r="AM477" s="60"/>
      <c r="AN477" s="60"/>
      <c r="AO477" s="63"/>
      <c r="AP477" s="62"/>
      <c r="AQ477" s="60"/>
      <c r="AR477" s="60"/>
      <c r="AS477" s="60"/>
      <c r="AT477" s="60"/>
      <c r="AU477" s="60"/>
      <c r="AV477" s="64"/>
      <c r="AW477" s="55">
        <f t="shared" si="41"/>
        <v>0</v>
      </c>
      <c r="AX477" s="55">
        <f t="shared" si="42"/>
        <v>3750000000</v>
      </c>
      <c r="AY477" s="55">
        <f t="shared" si="43"/>
        <v>2500000000</v>
      </c>
      <c r="AZ477" s="55">
        <f t="shared" si="44"/>
        <v>0</v>
      </c>
      <c r="BA477" s="55">
        <f t="shared" si="45"/>
        <v>6250000000</v>
      </c>
      <c r="BB477" s="32"/>
      <c r="BC477" s="32"/>
      <c r="BD477" s="32"/>
      <c r="BE477" s="32"/>
      <c r="BF477" s="32"/>
      <c r="BG477" s="32"/>
      <c r="BH477" s="32"/>
      <c r="BI477" s="32"/>
      <c r="BJ477" s="32"/>
      <c r="BK477" s="32"/>
      <c r="BL477" s="32"/>
      <c r="BM477" s="32"/>
      <c r="BN477" s="32"/>
      <c r="BO477" s="32"/>
      <c r="BP477" s="32"/>
      <c r="BQ477" s="32"/>
      <c r="BR477" s="32"/>
      <c r="BS477" s="32"/>
      <c r="BT477" s="32"/>
      <c r="BU477" s="32"/>
      <c r="BV477" s="32"/>
      <c r="BW477" s="32"/>
      <c r="BX477" s="32"/>
      <c r="BY477" s="32"/>
      <c r="BZ477" s="32"/>
      <c r="CA477" s="32"/>
      <c r="CB477" s="32"/>
      <c r="CC477" s="32"/>
      <c r="CD477" s="32"/>
      <c r="CE477" s="32"/>
      <c r="CF477" s="32"/>
      <c r="CG477" s="32"/>
      <c r="CH477" s="32"/>
      <c r="CI477" s="32"/>
      <c r="CJ477" s="32"/>
      <c r="CK477" s="32"/>
      <c r="CL477" s="32"/>
      <c r="CM477" s="32"/>
      <c r="CN477" s="32"/>
      <c r="CO477" s="32"/>
      <c r="CP477" s="32"/>
      <c r="CQ477" s="32"/>
      <c r="CR477" s="32"/>
      <c r="CS477" s="32"/>
      <c r="CT477" s="32"/>
      <c r="CU477" s="32"/>
      <c r="CV477" s="32"/>
      <c r="CW477" s="32"/>
      <c r="CX477" s="32"/>
      <c r="CY477" s="32"/>
      <c r="CZ477" s="32"/>
      <c r="DA477" s="32"/>
      <c r="DB477" s="32"/>
      <c r="DC477" s="32"/>
      <c r="DD477" s="32"/>
      <c r="DE477" s="32"/>
      <c r="DF477" s="32"/>
      <c r="DG477" s="32"/>
      <c r="DH477" s="32"/>
      <c r="DI477" s="32"/>
      <c r="DJ477" s="32"/>
      <c r="DK477" s="32"/>
      <c r="DL477" s="32"/>
      <c r="DM477" s="32"/>
      <c r="DN477" s="32"/>
      <c r="DO477" s="32"/>
      <c r="DP477" s="32"/>
      <c r="DQ477" s="32"/>
      <c r="DR477" s="32"/>
      <c r="DS477" s="32"/>
      <c r="DT477" s="32"/>
      <c r="DU477" s="32"/>
      <c r="DV477" s="32"/>
      <c r="DW477" s="32"/>
      <c r="DX477" s="32"/>
      <c r="DY477" s="32"/>
      <c r="DZ477" s="32"/>
      <c r="EA477" s="32"/>
      <c r="EB477" s="32"/>
      <c r="EC477" s="32"/>
    </row>
    <row r="478" spans="1:133" s="13" customFormat="1" ht="110.25" x14ac:dyDescent="0.25">
      <c r="A478" s="105" t="s">
        <v>869</v>
      </c>
      <c r="B478" s="119" t="s">
        <v>929</v>
      </c>
      <c r="C478" s="118" t="s">
        <v>930</v>
      </c>
      <c r="D478" s="127" t="s">
        <v>931</v>
      </c>
      <c r="E478" s="127">
        <v>3.1</v>
      </c>
      <c r="F478" s="127">
        <v>2.9</v>
      </c>
      <c r="G478" s="103" t="s">
        <v>954</v>
      </c>
      <c r="H478" s="103" t="s">
        <v>1608</v>
      </c>
      <c r="I478" s="103" t="s">
        <v>955</v>
      </c>
      <c r="J478" s="103" t="s">
        <v>1682</v>
      </c>
      <c r="K478" s="178">
        <v>100</v>
      </c>
      <c r="L478" s="179">
        <v>100</v>
      </c>
      <c r="M478" s="103" t="s">
        <v>814</v>
      </c>
      <c r="N478" s="56" t="s">
        <v>164</v>
      </c>
      <c r="O478" s="54" t="s">
        <v>934</v>
      </c>
      <c r="P478" s="58" t="s">
        <v>42</v>
      </c>
      <c r="Q478" s="54" t="s">
        <v>1679</v>
      </c>
      <c r="R478" s="182">
        <v>100</v>
      </c>
      <c r="S478" s="178">
        <v>100</v>
      </c>
      <c r="T478" s="178">
        <v>100</v>
      </c>
      <c r="U478" s="183">
        <v>100</v>
      </c>
      <c r="V478" s="59">
        <v>430000000</v>
      </c>
      <c r="W478" s="60"/>
      <c r="X478" s="60"/>
      <c r="Y478" s="60"/>
      <c r="Z478" s="60"/>
      <c r="AA478" s="61"/>
      <c r="AB478" s="62">
        <v>452000000</v>
      </c>
      <c r="AC478" s="60"/>
      <c r="AD478" s="60"/>
      <c r="AE478" s="60"/>
      <c r="AF478" s="60"/>
      <c r="AG478" s="60"/>
      <c r="AH478" s="63"/>
      <c r="AI478" s="62">
        <v>475000000</v>
      </c>
      <c r="AJ478" s="60"/>
      <c r="AK478" s="60"/>
      <c r="AL478" s="60"/>
      <c r="AM478" s="60"/>
      <c r="AN478" s="60"/>
      <c r="AO478" s="63"/>
      <c r="AP478" s="62">
        <v>500000000</v>
      </c>
      <c r="AQ478" s="60"/>
      <c r="AR478" s="60"/>
      <c r="AS478" s="60"/>
      <c r="AT478" s="60"/>
      <c r="AU478" s="60"/>
      <c r="AV478" s="64"/>
      <c r="AW478" s="55">
        <f t="shared" si="41"/>
        <v>430000000</v>
      </c>
      <c r="AX478" s="55">
        <f t="shared" si="42"/>
        <v>452000000</v>
      </c>
      <c r="AY478" s="55">
        <f t="shared" si="43"/>
        <v>475000000</v>
      </c>
      <c r="AZ478" s="55">
        <f t="shared" si="44"/>
        <v>500000000</v>
      </c>
      <c r="BA478" s="55">
        <f t="shared" si="45"/>
        <v>1857000000</v>
      </c>
      <c r="BB478" s="32"/>
      <c r="BC478" s="32"/>
      <c r="BD478" s="32"/>
      <c r="BE478" s="32"/>
      <c r="BF478" s="32"/>
      <c r="BG478" s="32"/>
      <c r="BH478" s="32"/>
      <c r="BI478" s="32"/>
      <c r="BJ478" s="32"/>
      <c r="BK478" s="32"/>
      <c r="BL478" s="32"/>
      <c r="BM478" s="32"/>
      <c r="BN478" s="32"/>
      <c r="BO478" s="32"/>
      <c r="BP478" s="32"/>
      <c r="BQ478" s="32"/>
      <c r="BR478" s="32"/>
      <c r="BS478" s="32"/>
      <c r="BT478" s="32"/>
      <c r="BU478" s="32"/>
      <c r="BV478" s="32"/>
      <c r="BW478" s="32"/>
      <c r="BX478" s="32"/>
      <c r="BY478" s="32"/>
      <c r="BZ478" s="32"/>
      <c r="CA478" s="32"/>
      <c r="CB478" s="32"/>
      <c r="CC478" s="32"/>
      <c r="CD478" s="32"/>
      <c r="CE478" s="32"/>
      <c r="CF478" s="32"/>
      <c r="CG478" s="32"/>
      <c r="CH478" s="32"/>
      <c r="CI478" s="32"/>
      <c r="CJ478" s="32"/>
      <c r="CK478" s="32"/>
      <c r="CL478" s="32"/>
      <c r="CM478" s="32"/>
      <c r="CN478" s="32"/>
      <c r="CO478" s="32"/>
      <c r="CP478" s="32"/>
      <c r="CQ478" s="32"/>
      <c r="CR478" s="32"/>
      <c r="CS478" s="32"/>
      <c r="CT478" s="32"/>
      <c r="CU478" s="32"/>
      <c r="CV478" s="32"/>
      <c r="CW478" s="32"/>
      <c r="CX478" s="32"/>
      <c r="CY478" s="32"/>
      <c r="CZ478" s="32"/>
      <c r="DA478" s="32"/>
      <c r="DB478" s="32"/>
      <c r="DC478" s="32"/>
      <c r="DD478" s="32"/>
      <c r="DE478" s="32"/>
      <c r="DF478" s="32"/>
      <c r="DG478" s="32"/>
      <c r="DH478" s="32"/>
      <c r="DI478" s="32"/>
      <c r="DJ478" s="32"/>
      <c r="DK478" s="32"/>
      <c r="DL478" s="32"/>
      <c r="DM478" s="32"/>
      <c r="DN478" s="32"/>
      <c r="DO478" s="32"/>
      <c r="DP478" s="32"/>
      <c r="DQ478" s="32"/>
      <c r="DR478" s="32"/>
      <c r="DS478" s="32"/>
      <c r="DT478" s="32"/>
      <c r="DU478" s="32"/>
      <c r="DV478" s="32"/>
      <c r="DW478" s="32"/>
      <c r="DX478" s="32"/>
      <c r="DY478" s="32"/>
      <c r="DZ478" s="32"/>
      <c r="EA478" s="32"/>
      <c r="EB478" s="32"/>
      <c r="EC478" s="32"/>
    </row>
    <row r="479" spans="1:133" s="13" customFormat="1" ht="94.5" x14ac:dyDescent="0.25">
      <c r="A479" s="105" t="s">
        <v>869</v>
      </c>
      <c r="B479" s="119" t="s">
        <v>929</v>
      </c>
      <c r="C479" s="118" t="s">
        <v>930</v>
      </c>
      <c r="D479" s="127" t="s">
        <v>931</v>
      </c>
      <c r="E479" s="127">
        <v>3.1</v>
      </c>
      <c r="F479" s="127">
        <v>2.9</v>
      </c>
      <c r="G479" s="103" t="s">
        <v>956</v>
      </c>
      <c r="H479" s="103" t="s">
        <v>1609</v>
      </c>
      <c r="I479" s="103" t="s">
        <v>957</v>
      </c>
      <c r="J479" s="103" t="s">
        <v>1682</v>
      </c>
      <c r="K479" s="178">
        <v>0</v>
      </c>
      <c r="L479" s="179">
        <v>100</v>
      </c>
      <c r="M479" s="103" t="s">
        <v>220</v>
      </c>
      <c r="N479" s="56" t="s">
        <v>164</v>
      </c>
      <c r="O479" s="54" t="s">
        <v>934</v>
      </c>
      <c r="P479" s="58" t="s">
        <v>39</v>
      </c>
      <c r="Q479" s="171" t="s">
        <v>1680</v>
      </c>
      <c r="R479" s="182">
        <v>0</v>
      </c>
      <c r="S479" s="178">
        <v>20</v>
      </c>
      <c r="T479" s="178">
        <v>30</v>
      </c>
      <c r="U479" s="183">
        <v>50</v>
      </c>
      <c r="V479" s="59">
        <v>0</v>
      </c>
      <c r="W479" s="60"/>
      <c r="X479" s="60"/>
      <c r="Y479" s="60"/>
      <c r="Z479" s="60"/>
      <c r="AA479" s="61"/>
      <c r="AB479" s="62">
        <v>3000000000</v>
      </c>
      <c r="AC479" s="60"/>
      <c r="AD479" s="60"/>
      <c r="AE479" s="60"/>
      <c r="AF479" s="60"/>
      <c r="AG479" s="60"/>
      <c r="AH479" s="63"/>
      <c r="AI479" s="62">
        <v>500000000</v>
      </c>
      <c r="AJ479" s="60"/>
      <c r="AK479" s="60"/>
      <c r="AL479" s="60"/>
      <c r="AM479" s="60"/>
      <c r="AN479" s="60"/>
      <c r="AO479" s="63"/>
      <c r="AP479" s="62">
        <v>500000000</v>
      </c>
      <c r="AQ479" s="60"/>
      <c r="AR479" s="60"/>
      <c r="AS479" s="60"/>
      <c r="AT479" s="60"/>
      <c r="AU479" s="60"/>
      <c r="AV479" s="64"/>
      <c r="AW479" s="55">
        <f t="shared" si="41"/>
        <v>0</v>
      </c>
      <c r="AX479" s="55">
        <f t="shared" si="42"/>
        <v>3000000000</v>
      </c>
      <c r="AY479" s="55">
        <f t="shared" si="43"/>
        <v>500000000</v>
      </c>
      <c r="AZ479" s="55">
        <f t="shared" si="44"/>
        <v>500000000</v>
      </c>
      <c r="BA479" s="55">
        <f t="shared" si="45"/>
        <v>4000000000</v>
      </c>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c r="CP479" s="4"/>
      <c r="CQ479" s="4"/>
      <c r="CR479" s="4"/>
      <c r="CS479" s="4"/>
      <c r="CT479" s="4"/>
      <c r="CU479" s="4"/>
      <c r="CV479" s="4"/>
      <c r="CW479" s="4"/>
      <c r="CX479" s="4"/>
      <c r="CY479" s="4"/>
      <c r="CZ479" s="4"/>
      <c r="DA479" s="4"/>
      <c r="DB479" s="4"/>
      <c r="DC479" s="4"/>
      <c r="DD479" s="4"/>
      <c r="DE479" s="4"/>
      <c r="DF479" s="4"/>
      <c r="DG479" s="4"/>
      <c r="DH479" s="4"/>
      <c r="DI479" s="4"/>
      <c r="DJ479" s="4"/>
      <c r="DK479" s="4"/>
      <c r="DL479" s="4"/>
      <c r="DM479" s="4"/>
      <c r="DN479" s="4"/>
      <c r="DO479" s="4"/>
      <c r="DP479" s="4"/>
      <c r="DQ479" s="4"/>
      <c r="DR479" s="4"/>
      <c r="DS479" s="4"/>
      <c r="DT479" s="4"/>
      <c r="DU479" s="4"/>
      <c r="DV479" s="4"/>
      <c r="DW479" s="4"/>
      <c r="DX479" s="4"/>
      <c r="DY479" s="4"/>
      <c r="DZ479" s="4"/>
      <c r="EA479" s="4"/>
      <c r="EB479" s="4"/>
      <c r="EC479" s="4"/>
    </row>
    <row r="480" spans="1:133" s="13" customFormat="1" ht="94.5" x14ac:dyDescent="0.25">
      <c r="A480" s="105" t="s">
        <v>869</v>
      </c>
      <c r="B480" s="119" t="s">
        <v>929</v>
      </c>
      <c r="C480" s="110" t="s">
        <v>958</v>
      </c>
      <c r="D480" s="127" t="s">
        <v>931</v>
      </c>
      <c r="E480" s="127">
        <v>3.1</v>
      </c>
      <c r="F480" s="127">
        <v>2.9</v>
      </c>
      <c r="G480" s="110" t="s">
        <v>959</v>
      </c>
      <c r="H480" s="110" t="s">
        <v>1610</v>
      </c>
      <c r="I480" s="103" t="s">
        <v>960</v>
      </c>
      <c r="J480" s="103" t="s">
        <v>1682</v>
      </c>
      <c r="K480" s="178">
        <v>35</v>
      </c>
      <c r="L480" s="179">
        <v>40</v>
      </c>
      <c r="M480" s="103" t="s">
        <v>814</v>
      </c>
      <c r="N480" s="56" t="s">
        <v>164</v>
      </c>
      <c r="O480" s="54" t="s">
        <v>934</v>
      </c>
      <c r="P480" s="58" t="s">
        <v>39</v>
      </c>
      <c r="Q480" s="171" t="s">
        <v>1679</v>
      </c>
      <c r="R480" s="182">
        <v>5</v>
      </c>
      <c r="S480" s="178">
        <v>16</v>
      </c>
      <c r="T480" s="178">
        <v>28.000000000000004</v>
      </c>
      <c r="U480" s="183">
        <v>40</v>
      </c>
      <c r="V480" s="59">
        <v>14000000000</v>
      </c>
      <c r="W480" s="60"/>
      <c r="X480" s="60"/>
      <c r="Y480" s="60"/>
      <c r="Z480" s="60"/>
      <c r="AA480" s="61"/>
      <c r="AB480" s="62">
        <v>8573000000</v>
      </c>
      <c r="AC480" s="60"/>
      <c r="AD480" s="60"/>
      <c r="AE480" s="60"/>
      <c r="AF480" s="60"/>
      <c r="AG480" s="60"/>
      <c r="AH480" s="63"/>
      <c r="AI480" s="62">
        <v>3050333333.3333302</v>
      </c>
      <c r="AJ480" s="60"/>
      <c r="AK480" s="60"/>
      <c r="AL480" s="60"/>
      <c r="AM480" s="60"/>
      <c r="AN480" s="60"/>
      <c r="AO480" s="63"/>
      <c r="AP480" s="62">
        <f>10759000000/2</f>
        <v>5379500000</v>
      </c>
      <c r="AQ480" s="60"/>
      <c r="AR480" s="60"/>
      <c r="AS480" s="60"/>
      <c r="AT480" s="60"/>
      <c r="AU480" s="60"/>
      <c r="AV480" s="64"/>
      <c r="AW480" s="55">
        <f t="shared" si="41"/>
        <v>14000000000</v>
      </c>
      <c r="AX480" s="55">
        <f t="shared" si="42"/>
        <v>8573000000</v>
      </c>
      <c r="AY480" s="55">
        <f t="shared" si="43"/>
        <v>3050333333.3333302</v>
      </c>
      <c r="AZ480" s="55">
        <f t="shared" si="44"/>
        <v>5379500000</v>
      </c>
      <c r="BA480" s="55">
        <f t="shared" si="45"/>
        <v>31002833333.333328</v>
      </c>
      <c r="BB480" s="32"/>
      <c r="BC480" s="32"/>
      <c r="BD480" s="32"/>
      <c r="BE480" s="32"/>
      <c r="BF480" s="32"/>
      <c r="BG480" s="32"/>
      <c r="BH480" s="32"/>
      <c r="BI480" s="32"/>
      <c r="BJ480" s="32"/>
      <c r="BK480" s="32"/>
      <c r="BL480" s="32"/>
      <c r="BM480" s="32"/>
      <c r="BN480" s="32"/>
      <c r="BO480" s="32"/>
      <c r="BP480" s="32"/>
      <c r="BQ480" s="32"/>
      <c r="BR480" s="32"/>
      <c r="BS480" s="32"/>
      <c r="BT480" s="32"/>
      <c r="BU480" s="32"/>
      <c r="BV480" s="32"/>
      <c r="BW480" s="32"/>
      <c r="BX480" s="32"/>
      <c r="BY480" s="32"/>
      <c r="BZ480" s="32"/>
      <c r="CA480" s="32"/>
      <c r="CB480" s="32"/>
      <c r="CC480" s="32"/>
      <c r="CD480" s="32"/>
      <c r="CE480" s="32"/>
      <c r="CF480" s="32"/>
      <c r="CG480" s="32"/>
      <c r="CH480" s="32"/>
      <c r="CI480" s="32"/>
      <c r="CJ480" s="32"/>
      <c r="CK480" s="32"/>
      <c r="CL480" s="32"/>
      <c r="CM480" s="32"/>
      <c r="CN480" s="32"/>
      <c r="CO480" s="32"/>
      <c r="CP480" s="32"/>
      <c r="CQ480" s="32"/>
      <c r="CR480" s="32"/>
      <c r="CS480" s="32"/>
      <c r="CT480" s="32"/>
      <c r="CU480" s="32"/>
      <c r="CV480" s="32"/>
      <c r="CW480" s="32"/>
      <c r="CX480" s="32"/>
      <c r="CY480" s="32"/>
      <c r="CZ480" s="32"/>
      <c r="DA480" s="32"/>
      <c r="DB480" s="32"/>
      <c r="DC480" s="32"/>
      <c r="DD480" s="32"/>
      <c r="DE480" s="32"/>
      <c r="DF480" s="32"/>
      <c r="DG480" s="32"/>
      <c r="DH480" s="32"/>
      <c r="DI480" s="32"/>
      <c r="DJ480" s="32"/>
      <c r="DK480" s="32"/>
      <c r="DL480" s="32"/>
      <c r="DM480" s="32"/>
      <c r="DN480" s="32"/>
      <c r="DO480" s="32"/>
      <c r="DP480" s="32"/>
      <c r="DQ480" s="32"/>
      <c r="DR480" s="32"/>
      <c r="DS480" s="32"/>
      <c r="DT480" s="32"/>
      <c r="DU480" s="32"/>
      <c r="DV480" s="32"/>
      <c r="DW480" s="32"/>
      <c r="DX480" s="32"/>
      <c r="DY480" s="32"/>
      <c r="DZ480" s="32"/>
      <c r="EA480" s="32"/>
      <c r="EB480" s="32"/>
      <c r="EC480" s="32"/>
    </row>
    <row r="481" spans="1:133" s="13" customFormat="1" ht="157.5" x14ac:dyDescent="0.25">
      <c r="A481" s="105" t="s">
        <v>869</v>
      </c>
      <c r="B481" s="119" t="s">
        <v>929</v>
      </c>
      <c r="C481" s="110" t="s">
        <v>958</v>
      </c>
      <c r="D481" s="127" t="s">
        <v>931</v>
      </c>
      <c r="E481" s="127">
        <v>3.1</v>
      </c>
      <c r="F481" s="127">
        <v>2.9</v>
      </c>
      <c r="G481" s="110" t="s">
        <v>959</v>
      </c>
      <c r="H481" s="110" t="s">
        <v>1611</v>
      </c>
      <c r="I481" s="103" t="s">
        <v>961</v>
      </c>
      <c r="J481" s="103" t="s">
        <v>1682</v>
      </c>
      <c r="K481" s="178">
        <v>0</v>
      </c>
      <c r="L481" s="179">
        <v>100</v>
      </c>
      <c r="M481" s="103" t="s">
        <v>814</v>
      </c>
      <c r="N481" s="56" t="s">
        <v>164</v>
      </c>
      <c r="O481" s="54" t="s">
        <v>934</v>
      </c>
      <c r="P481" s="58" t="s">
        <v>39</v>
      </c>
      <c r="Q481" s="171" t="s">
        <v>1680</v>
      </c>
      <c r="R481" s="182">
        <v>0</v>
      </c>
      <c r="S481" s="178">
        <v>40</v>
      </c>
      <c r="T481" s="178">
        <v>60</v>
      </c>
      <c r="U481" s="183">
        <v>0</v>
      </c>
      <c r="V481" s="59"/>
      <c r="W481" s="60"/>
      <c r="X481" s="60"/>
      <c r="Y481" s="60"/>
      <c r="Z481" s="60"/>
      <c r="AA481" s="61"/>
      <c r="AB481" s="62">
        <v>3000000000</v>
      </c>
      <c r="AC481" s="60"/>
      <c r="AD481" s="60"/>
      <c r="AE481" s="60"/>
      <c r="AF481" s="60"/>
      <c r="AG481" s="60"/>
      <c r="AH481" s="63"/>
      <c r="AI481" s="62">
        <v>3050333333.3333302</v>
      </c>
      <c r="AJ481" s="60"/>
      <c r="AK481" s="60"/>
      <c r="AL481" s="60"/>
      <c r="AM481" s="60"/>
      <c r="AN481" s="60"/>
      <c r="AO481" s="63"/>
      <c r="AP481" s="62"/>
      <c r="AQ481" s="60"/>
      <c r="AR481" s="60"/>
      <c r="AS481" s="60"/>
      <c r="AT481" s="60"/>
      <c r="AU481" s="60"/>
      <c r="AV481" s="64"/>
      <c r="AW481" s="55">
        <f t="shared" si="41"/>
        <v>0</v>
      </c>
      <c r="AX481" s="55">
        <f t="shared" si="42"/>
        <v>3000000000</v>
      </c>
      <c r="AY481" s="55">
        <f t="shared" si="43"/>
        <v>3050333333.3333302</v>
      </c>
      <c r="AZ481" s="55">
        <f t="shared" si="44"/>
        <v>0</v>
      </c>
      <c r="BA481" s="55">
        <f t="shared" si="45"/>
        <v>6050333333.3333302</v>
      </c>
      <c r="BB481" s="32"/>
      <c r="BC481" s="32"/>
      <c r="BD481" s="32"/>
      <c r="BE481" s="32"/>
      <c r="BF481" s="32"/>
      <c r="BG481" s="32"/>
      <c r="BH481" s="32"/>
      <c r="BI481" s="32"/>
      <c r="BJ481" s="32"/>
      <c r="BK481" s="32"/>
      <c r="BL481" s="32"/>
      <c r="BM481" s="32"/>
      <c r="BN481" s="32"/>
      <c r="BO481" s="32"/>
      <c r="BP481" s="32"/>
      <c r="BQ481" s="32"/>
      <c r="BR481" s="32"/>
      <c r="BS481" s="32"/>
      <c r="BT481" s="32"/>
      <c r="BU481" s="32"/>
      <c r="BV481" s="32"/>
      <c r="BW481" s="32"/>
      <c r="BX481" s="32"/>
      <c r="BY481" s="32"/>
      <c r="BZ481" s="32"/>
      <c r="CA481" s="32"/>
      <c r="CB481" s="32"/>
      <c r="CC481" s="32"/>
      <c r="CD481" s="32"/>
      <c r="CE481" s="32"/>
      <c r="CF481" s="32"/>
      <c r="CG481" s="32"/>
      <c r="CH481" s="32"/>
      <c r="CI481" s="32"/>
      <c r="CJ481" s="32"/>
      <c r="CK481" s="32"/>
      <c r="CL481" s="32"/>
      <c r="CM481" s="32"/>
      <c r="CN481" s="32"/>
      <c r="CO481" s="32"/>
      <c r="CP481" s="32"/>
      <c r="CQ481" s="32"/>
      <c r="CR481" s="32"/>
      <c r="CS481" s="32"/>
      <c r="CT481" s="32"/>
      <c r="CU481" s="32"/>
      <c r="CV481" s="32"/>
      <c r="CW481" s="32"/>
      <c r="CX481" s="32"/>
      <c r="CY481" s="32"/>
      <c r="CZ481" s="32"/>
      <c r="DA481" s="32"/>
      <c r="DB481" s="32"/>
      <c r="DC481" s="32"/>
      <c r="DD481" s="32"/>
      <c r="DE481" s="32"/>
      <c r="DF481" s="32"/>
      <c r="DG481" s="32"/>
      <c r="DH481" s="32"/>
      <c r="DI481" s="32"/>
      <c r="DJ481" s="32"/>
      <c r="DK481" s="32"/>
      <c r="DL481" s="32"/>
      <c r="DM481" s="32"/>
      <c r="DN481" s="32"/>
      <c r="DO481" s="32"/>
      <c r="DP481" s="32"/>
      <c r="DQ481" s="32"/>
      <c r="DR481" s="32"/>
      <c r="DS481" s="32"/>
      <c r="DT481" s="32"/>
      <c r="DU481" s="32"/>
      <c r="DV481" s="32"/>
      <c r="DW481" s="32"/>
      <c r="DX481" s="32"/>
      <c r="DY481" s="32"/>
      <c r="DZ481" s="32"/>
      <c r="EA481" s="32"/>
      <c r="EB481" s="32"/>
      <c r="EC481" s="32"/>
    </row>
    <row r="482" spans="1:133" s="13" customFormat="1" ht="141.75" x14ac:dyDescent="0.25">
      <c r="A482" s="105" t="s">
        <v>869</v>
      </c>
      <c r="B482" s="119" t="s">
        <v>929</v>
      </c>
      <c r="C482" s="110" t="s">
        <v>958</v>
      </c>
      <c r="D482" s="127" t="s">
        <v>931</v>
      </c>
      <c r="E482" s="127">
        <v>3.1</v>
      </c>
      <c r="F482" s="127">
        <v>2.9</v>
      </c>
      <c r="G482" s="110" t="s">
        <v>959</v>
      </c>
      <c r="H482" s="110" t="s">
        <v>1612</v>
      </c>
      <c r="I482" s="103" t="s">
        <v>962</v>
      </c>
      <c r="J482" s="103" t="s">
        <v>1682</v>
      </c>
      <c r="K482" s="178">
        <v>0</v>
      </c>
      <c r="L482" s="179">
        <v>100</v>
      </c>
      <c r="M482" s="103" t="s">
        <v>814</v>
      </c>
      <c r="N482" s="56" t="s">
        <v>164</v>
      </c>
      <c r="O482" s="54" t="s">
        <v>934</v>
      </c>
      <c r="P482" s="58" t="s">
        <v>39</v>
      </c>
      <c r="Q482" s="171" t="s">
        <v>1680</v>
      </c>
      <c r="R482" s="182">
        <v>0</v>
      </c>
      <c r="S482" s="178">
        <v>0</v>
      </c>
      <c r="T482" s="178">
        <v>50</v>
      </c>
      <c r="U482" s="183">
        <v>50</v>
      </c>
      <c r="V482" s="59"/>
      <c r="W482" s="60"/>
      <c r="X482" s="60"/>
      <c r="Y482" s="60"/>
      <c r="Z482" s="60"/>
      <c r="AA482" s="61"/>
      <c r="AB482" s="62"/>
      <c r="AC482" s="60"/>
      <c r="AD482" s="60"/>
      <c r="AE482" s="60"/>
      <c r="AF482" s="60"/>
      <c r="AG482" s="60"/>
      <c r="AH482" s="63"/>
      <c r="AI482" s="62">
        <v>3050333333.3333302</v>
      </c>
      <c r="AJ482" s="60"/>
      <c r="AK482" s="60"/>
      <c r="AL482" s="60"/>
      <c r="AM482" s="60"/>
      <c r="AN482" s="60"/>
      <c r="AO482" s="63"/>
      <c r="AP482" s="62">
        <f>10759000000/2</f>
        <v>5379500000</v>
      </c>
      <c r="AQ482" s="60"/>
      <c r="AR482" s="60"/>
      <c r="AS482" s="60"/>
      <c r="AT482" s="60"/>
      <c r="AU482" s="60"/>
      <c r="AV482" s="64"/>
      <c r="AW482" s="55">
        <f t="shared" si="41"/>
        <v>0</v>
      </c>
      <c r="AX482" s="55">
        <f t="shared" si="42"/>
        <v>0</v>
      </c>
      <c r="AY482" s="55">
        <f t="shared" si="43"/>
        <v>3050333333.3333302</v>
      </c>
      <c r="AZ482" s="55">
        <f t="shared" si="44"/>
        <v>5379500000</v>
      </c>
      <c r="BA482" s="55">
        <f t="shared" si="45"/>
        <v>8429833333.3333302</v>
      </c>
      <c r="BB482" s="32"/>
      <c r="BC482" s="32"/>
      <c r="BD482" s="32"/>
      <c r="BE482" s="32"/>
      <c r="BF482" s="32"/>
      <c r="BG482" s="32"/>
      <c r="BH482" s="32"/>
      <c r="BI482" s="32"/>
      <c r="BJ482" s="32"/>
      <c r="BK482" s="32"/>
      <c r="BL482" s="32"/>
      <c r="BM482" s="32"/>
      <c r="BN482" s="32"/>
      <c r="BO482" s="32"/>
      <c r="BP482" s="32"/>
      <c r="BQ482" s="32"/>
      <c r="BR482" s="32"/>
      <c r="BS482" s="32"/>
      <c r="BT482" s="32"/>
      <c r="BU482" s="32"/>
      <c r="BV482" s="32"/>
      <c r="BW482" s="32"/>
      <c r="BX482" s="32"/>
      <c r="BY482" s="32"/>
      <c r="BZ482" s="32"/>
      <c r="CA482" s="32"/>
      <c r="CB482" s="32"/>
      <c r="CC482" s="32"/>
      <c r="CD482" s="32"/>
      <c r="CE482" s="32"/>
      <c r="CF482" s="32"/>
      <c r="CG482" s="32"/>
      <c r="CH482" s="32"/>
      <c r="CI482" s="32"/>
      <c r="CJ482" s="32"/>
      <c r="CK482" s="32"/>
      <c r="CL482" s="32"/>
      <c r="CM482" s="32"/>
      <c r="CN482" s="32"/>
      <c r="CO482" s="32"/>
      <c r="CP482" s="32"/>
      <c r="CQ482" s="32"/>
      <c r="CR482" s="32"/>
      <c r="CS482" s="32"/>
      <c r="CT482" s="32"/>
      <c r="CU482" s="32"/>
      <c r="CV482" s="32"/>
      <c r="CW482" s="32"/>
      <c r="CX482" s="32"/>
      <c r="CY482" s="32"/>
      <c r="CZ482" s="32"/>
      <c r="DA482" s="32"/>
      <c r="DB482" s="32"/>
      <c r="DC482" s="32"/>
      <c r="DD482" s="32"/>
      <c r="DE482" s="32"/>
      <c r="DF482" s="32"/>
      <c r="DG482" s="32"/>
      <c r="DH482" s="32"/>
      <c r="DI482" s="32"/>
      <c r="DJ482" s="32"/>
      <c r="DK482" s="32"/>
      <c r="DL482" s="32"/>
      <c r="DM482" s="32"/>
      <c r="DN482" s="32"/>
      <c r="DO482" s="32"/>
      <c r="DP482" s="32"/>
      <c r="DQ482" s="32"/>
      <c r="DR482" s="32"/>
      <c r="DS482" s="32"/>
      <c r="DT482" s="32"/>
      <c r="DU482" s="32"/>
      <c r="DV482" s="32"/>
      <c r="DW482" s="32"/>
      <c r="DX482" s="32"/>
      <c r="DY482" s="32"/>
      <c r="DZ482" s="32"/>
      <c r="EA482" s="32"/>
      <c r="EB482" s="32"/>
      <c r="EC482" s="32"/>
    </row>
    <row r="483" spans="1:133" s="13" customFormat="1" ht="78.75" x14ac:dyDescent="0.25">
      <c r="A483" s="105" t="s">
        <v>869</v>
      </c>
      <c r="B483" s="119" t="s">
        <v>929</v>
      </c>
      <c r="C483" s="110" t="s">
        <v>958</v>
      </c>
      <c r="D483" s="127" t="s">
        <v>931</v>
      </c>
      <c r="E483" s="127">
        <v>3.1</v>
      </c>
      <c r="F483" s="127">
        <v>2.9</v>
      </c>
      <c r="G483" s="103" t="s">
        <v>963</v>
      </c>
      <c r="H483" s="103" t="s">
        <v>1613</v>
      </c>
      <c r="I483" s="103" t="s">
        <v>964</v>
      </c>
      <c r="J483" s="103" t="s">
        <v>1682</v>
      </c>
      <c r="K483" s="178">
        <v>0</v>
      </c>
      <c r="L483" s="179">
        <v>100</v>
      </c>
      <c r="M483" s="103" t="s">
        <v>814</v>
      </c>
      <c r="N483" s="56" t="s">
        <v>164</v>
      </c>
      <c r="O483" s="54" t="s">
        <v>934</v>
      </c>
      <c r="P483" s="58" t="s">
        <v>39</v>
      </c>
      <c r="Q483" s="171" t="s">
        <v>1680</v>
      </c>
      <c r="R483" s="182">
        <v>20</v>
      </c>
      <c r="S483" s="178">
        <v>50</v>
      </c>
      <c r="T483" s="178">
        <v>15</v>
      </c>
      <c r="U483" s="183">
        <v>15</v>
      </c>
      <c r="V483" s="59">
        <v>393000000</v>
      </c>
      <c r="W483" s="60"/>
      <c r="X483" s="60"/>
      <c r="Y483" s="60"/>
      <c r="Z483" s="60"/>
      <c r="AA483" s="61"/>
      <c r="AB483" s="62">
        <v>1412000000</v>
      </c>
      <c r="AC483" s="60"/>
      <c r="AD483" s="60"/>
      <c r="AE483" s="60"/>
      <c r="AF483" s="60"/>
      <c r="AG483" s="60"/>
      <c r="AH483" s="63"/>
      <c r="AI483" s="62">
        <v>1483000000</v>
      </c>
      <c r="AJ483" s="60"/>
      <c r="AK483" s="60"/>
      <c r="AL483" s="60"/>
      <c r="AM483" s="60"/>
      <c r="AN483" s="60"/>
      <c r="AO483" s="63"/>
      <c r="AP483" s="62">
        <v>1550000000</v>
      </c>
      <c r="AQ483" s="60"/>
      <c r="AR483" s="60"/>
      <c r="AS483" s="60"/>
      <c r="AT483" s="60"/>
      <c r="AU483" s="60"/>
      <c r="AV483" s="64"/>
      <c r="AW483" s="55">
        <f t="shared" si="41"/>
        <v>393000000</v>
      </c>
      <c r="AX483" s="55">
        <f t="shared" si="42"/>
        <v>1412000000</v>
      </c>
      <c r="AY483" s="55">
        <f t="shared" si="43"/>
        <v>1483000000</v>
      </c>
      <c r="AZ483" s="55">
        <f t="shared" si="44"/>
        <v>1550000000</v>
      </c>
      <c r="BA483" s="55">
        <f t="shared" si="45"/>
        <v>4838000000</v>
      </c>
      <c r="BB483" s="32"/>
      <c r="BC483" s="32"/>
      <c r="BD483" s="32"/>
      <c r="BE483" s="32"/>
      <c r="BF483" s="32"/>
      <c r="BG483" s="32"/>
      <c r="BH483" s="32"/>
      <c r="BI483" s="32"/>
      <c r="BJ483" s="32"/>
      <c r="BK483" s="32"/>
      <c r="BL483" s="32"/>
      <c r="BM483" s="32"/>
      <c r="BN483" s="32"/>
      <c r="BO483" s="32"/>
      <c r="BP483" s="32"/>
      <c r="BQ483" s="32"/>
      <c r="BR483" s="32"/>
      <c r="BS483" s="32"/>
      <c r="BT483" s="32"/>
      <c r="BU483" s="32"/>
      <c r="BV483" s="32"/>
      <c r="BW483" s="32"/>
      <c r="BX483" s="32"/>
      <c r="BY483" s="32"/>
      <c r="BZ483" s="32"/>
      <c r="CA483" s="32"/>
      <c r="CB483" s="32"/>
      <c r="CC483" s="32"/>
      <c r="CD483" s="32"/>
      <c r="CE483" s="32"/>
      <c r="CF483" s="32"/>
      <c r="CG483" s="32"/>
      <c r="CH483" s="32"/>
      <c r="CI483" s="32"/>
      <c r="CJ483" s="32"/>
      <c r="CK483" s="32"/>
      <c r="CL483" s="32"/>
      <c r="CM483" s="32"/>
      <c r="CN483" s="32"/>
      <c r="CO483" s="32"/>
      <c r="CP483" s="32"/>
      <c r="CQ483" s="32"/>
      <c r="CR483" s="32"/>
      <c r="CS483" s="32"/>
      <c r="CT483" s="32"/>
      <c r="CU483" s="32"/>
      <c r="CV483" s="32"/>
      <c r="CW483" s="32"/>
      <c r="CX483" s="32"/>
      <c r="CY483" s="32"/>
      <c r="CZ483" s="32"/>
      <c r="DA483" s="32"/>
      <c r="DB483" s="32"/>
      <c r="DC483" s="32"/>
      <c r="DD483" s="32"/>
      <c r="DE483" s="32"/>
      <c r="DF483" s="32"/>
      <c r="DG483" s="32"/>
      <c r="DH483" s="32"/>
      <c r="DI483" s="32"/>
      <c r="DJ483" s="32"/>
      <c r="DK483" s="32"/>
      <c r="DL483" s="32"/>
      <c r="DM483" s="32"/>
      <c r="DN483" s="32"/>
      <c r="DO483" s="32"/>
      <c r="DP483" s="32"/>
      <c r="DQ483" s="32"/>
      <c r="DR483" s="32"/>
      <c r="DS483" s="32"/>
      <c r="DT483" s="32"/>
      <c r="DU483" s="32"/>
      <c r="DV483" s="32"/>
      <c r="DW483" s="32"/>
      <c r="DX483" s="32"/>
      <c r="DY483" s="32"/>
      <c r="DZ483" s="32"/>
      <c r="EA483" s="32"/>
      <c r="EB483" s="32"/>
      <c r="EC483" s="32"/>
    </row>
    <row r="484" spans="1:133" s="13" customFormat="1" ht="126" x14ac:dyDescent="0.25">
      <c r="A484" s="105" t="s">
        <v>869</v>
      </c>
      <c r="B484" s="119" t="s">
        <v>929</v>
      </c>
      <c r="C484" s="110" t="s">
        <v>958</v>
      </c>
      <c r="D484" s="127" t="s">
        <v>931</v>
      </c>
      <c r="E484" s="127">
        <v>3.1</v>
      </c>
      <c r="F484" s="127">
        <v>2.9</v>
      </c>
      <c r="G484" s="110" t="s">
        <v>965</v>
      </c>
      <c r="H484" s="110" t="s">
        <v>1614</v>
      </c>
      <c r="I484" s="103" t="s">
        <v>966</v>
      </c>
      <c r="J484" s="103" t="s">
        <v>1683</v>
      </c>
      <c r="K484" s="56">
        <v>2876</v>
      </c>
      <c r="L484" s="86">
        <v>3000</v>
      </c>
      <c r="M484" s="103" t="s">
        <v>814</v>
      </c>
      <c r="N484" s="56" t="s">
        <v>143</v>
      </c>
      <c r="O484" s="54" t="s">
        <v>934</v>
      </c>
      <c r="P484" s="58" t="s">
        <v>39</v>
      </c>
      <c r="Q484" s="171" t="s">
        <v>1680</v>
      </c>
      <c r="R484" s="182">
        <v>155</v>
      </c>
      <c r="S484" s="178">
        <v>500</v>
      </c>
      <c r="T484" s="178">
        <v>1200</v>
      </c>
      <c r="U484" s="183">
        <v>1145</v>
      </c>
      <c r="V484" s="59">
        <v>1267000000</v>
      </c>
      <c r="W484" s="60"/>
      <c r="X484" s="60"/>
      <c r="Y484" s="60"/>
      <c r="Z484" s="60"/>
      <c r="AA484" s="61"/>
      <c r="AB484" s="62">
        <f>1330000000/3</f>
        <v>443333333.33333331</v>
      </c>
      <c r="AC484" s="60"/>
      <c r="AD484" s="60"/>
      <c r="AE484" s="60"/>
      <c r="AF484" s="60"/>
      <c r="AG484" s="60"/>
      <c r="AH484" s="63"/>
      <c r="AI484" s="62">
        <f>1396000000/3</f>
        <v>465333333.33333331</v>
      </c>
      <c r="AJ484" s="60"/>
      <c r="AK484" s="60"/>
      <c r="AL484" s="60"/>
      <c r="AM484" s="60"/>
      <c r="AN484" s="60"/>
      <c r="AO484" s="63"/>
      <c r="AP484" s="62">
        <f>1466000000/3</f>
        <v>488666666.66666669</v>
      </c>
      <c r="AQ484" s="60"/>
      <c r="AR484" s="60"/>
      <c r="AS484" s="60"/>
      <c r="AT484" s="60"/>
      <c r="AU484" s="60"/>
      <c r="AV484" s="64"/>
      <c r="AW484" s="55">
        <f t="shared" si="41"/>
        <v>1267000000</v>
      </c>
      <c r="AX484" s="55">
        <f t="shared" si="42"/>
        <v>443333333.33333331</v>
      </c>
      <c r="AY484" s="55">
        <f t="shared" si="43"/>
        <v>465333333.33333331</v>
      </c>
      <c r="AZ484" s="55">
        <f t="shared" si="44"/>
        <v>488666666.66666669</v>
      </c>
      <c r="BA484" s="55">
        <f t="shared" si="45"/>
        <v>2664333333.333333</v>
      </c>
      <c r="BB484" s="32"/>
      <c r="BC484" s="32"/>
      <c r="BD484" s="32"/>
      <c r="BE484" s="32"/>
      <c r="BF484" s="32"/>
      <c r="BG484" s="32"/>
      <c r="BH484" s="32"/>
      <c r="BI484" s="32"/>
      <c r="BJ484" s="32"/>
      <c r="BK484" s="32"/>
      <c r="BL484" s="32"/>
      <c r="BM484" s="32"/>
      <c r="BN484" s="32"/>
      <c r="BO484" s="32"/>
      <c r="BP484" s="32"/>
      <c r="BQ484" s="32"/>
      <c r="BR484" s="32"/>
      <c r="BS484" s="32"/>
      <c r="BT484" s="32"/>
      <c r="BU484" s="32"/>
      <c r="BV484" s="32"/>
      <c r="BW484" s="32"/>
      <c r="BX484" s="32"/>
      <c r="BY484" s="32"/>
      <c r="BZ484" s="32"/>
      <c r="CA484" s="32"/>
      <c r="CB484" s="32"/>
      <c r="CC484" s="32"/>
      <c r="CD484" s="32"/>
      <c r="CE484" s="32"/>
      <c r="CF484" s="32"/>
      <c r="CG484" s="32"/>
      <c r="CH484" s="32"/>
      <c r="CI484" s="32"/>
      <c r="CJ484" s="32"/>
      <c r="CK484" s="32"/>
      <c r="CL484" s="32"/>
      <c r="CM484" s="32"/>
      <c r="CN484" s="32"/>
      <c r="CO484" s="32"/>
      <c r="CP484" s="32"/>
      <c r="CQ484" s="32"/>
      <c r="CR484" s="32"/>
      <c r="CS484" s="32"/>
      <c r="CT484" s="32"/>
      <c r="CU484" s="32"/>
      <c r="CV484" s="32"/>
      <c r="CW484" s="32"/>
      <c r="CX484" s="32"/>
      <c r="CY484" s="32"/>
      <c r="CZ484" s="32"/>
      <c r="DA484" s="32"/>
      <c r="DB484" s="32"/>
      <c r="DC484" s="32"/>
      <c r="DD484" s="32"/>
      <c r="DE484" s="32"/>
      <c r="DF484" s="32"/>
      <c r="DG484" s="32"/>
      <c r="DH484" s="32"/>
      <c r="DI484" s="32"/>
      <c r="DJ484" s="32"/>
      <c r="DK484" s="32"/>
      <c r="DL484" s="32"/>
      <c r="DM484" s="32"/>
      <c r="DN484" s="32"/>
      <c r="DO484" s="32"/>
      <c r="DP484" s="32"/>
      <c r="DQ484" s="32"/>
      <c r="DR484" s="32"/>
      <c r="DS484" s="32"/>
      <c r="DT484" s="32"/>
      <c r="DU484" s="32"/>
      <c r="DV484" s="32"/>
      <c r="DW484" s="32"/>
      <c r="DX484" s="32"/>
      <c r="DY484" s="32"/>
      <c r="DZ484" s="32"/>
      <c r="EA484" s="32"/>
      <c r="EB484" s="32"/>
      <c r="EC484" s="32"/>
    </row>
    <row r="485" spans="1:133" s="13" customFormat="1" ht="141.75" x14ac:dyDescent="0.25">
      <c r="A485" s="105" t="s">
        <v>869</v>
      </c>
      <c r="B485" s="119" t="s">
        <v>929</v>
      </c>
      <c r="C485" s="110" t="s">
        <v>958</v>
      </c>
      <c r="D485" s="127" t="s">
        <v>931</v>
      </c>
      <c r="E485" s="127">
        <v>3.1</v>
      </c>
      <c r="F485" s="127">
        <v>2.9</v>
      </c>
      <c r="G485" s="110" t="s">
        <v>965</v>
      </c>
      <c r="H485" s="110" t="s">
        <v>1615</v>
      </c>
      <c r="I485" s="103" t="s">
        <v>967</v>
      </c>
      <c r="J485" s="103" t="s">
        <v>1683</v>
      </c>
      <c r="K485" s="56">
        <v>0</v>
      </c>
      <c r="L485" s="86">
        <v>1000</v>
      </c>
      <c r="M485" s="103" t="s">
        <v>814</v>
      </c>
      <c r="N485" s="56" t="s">
        <v>143</v>
      </c>
      <c r="O485" s="54" t="s">
        <v>934</v>
      </c>
      <c r="P485" s="58" t="s">
        <v>39</v>
      </c>
      <c r="Q485" s="171" t="s">
        <v>1680</v>
      </c>
      <c r="R485" s="182">
        <v>0</v>
      </c>
      <c r="S485" s="178">
        <v>300</v>
      </c>
      <c r="T485" s="178">
        <v>300</v>
      </c>
      <c r="U485" s="183">
        <v>400</v>
      </c>
      <c r="V485" s="59"/>
      <c r="W485" s="60"/>
      <c r="X485" s="60"/>
      <c r="Y485" s="60"/>
      <c r="Z485" s="60"/>
      <c r="AA485" s="61"/>
      <c r="AB485" s="62">
        <f>1330000000/3</f>
        <v>443333333.33333331</v>
      </c>
      <c r="AC485" s="60"/>
      <c r="AD485" s="60"/>
      <c r="AE485" s="60"/>
      <c r="AF485" s="60"/>
      <c r="AG485" s="60"/>
      <c r="AH485" s="63"/>
      <c r="AI485" s="62">
        <f>1396000000/3</f>
        <v>465333333.33333331</v>
      </c>
      <c r="AJ485" s="60"/>
      <c r="AK485" s="60"/>
      <c r="AL485" s="60"/>
      <c r="AM485" s="60"/>
      <c r="AN485" s="60"/>
      <c r="AO485" s="63"/>
      <c r="AP485" s="62">
        <f>1466000000/3</f>
        <v>488666666.66666669</v>
      </c>
      <c r="AQ485" s="60"/>
      <c r="AR485" s="60"/>
      <c r="AS485" s="60"/>
      <c r="AT485" s="60"/>
      <c r="AU485" s="60"/>
      <c r="AV485" s="64"/>
      <c r="AW485" s="55">
        <f t="shared" si="41"/>
        <v>0</v>
      </c>
      <c r="AX485" s="55">
        <f t="shared" si="42"/>
        <v>443333333.33333331</v>
      </c>
      <c r="AY485" s="55">
        <f t="shared" si="43"/>
        <v>465333333.33333331</v>
      </c>
      <c r="AZ485" s="55">
        <f t="shared" si="44"/>
        <v>488666666.66666669</v>
      </c>
      <c r="BA485" s="55">
        <f t="shared" si="45"/>
        <v>1397333333.3333333</v>
      </c>
      <c r="BB485" s="32"/>
      <c r="BC485" s="32"/>
      <c r="BD485" s="32"/>
      <c r="BE485" s="32"/>
      <c r="BF485" s="32"/>
      <c r="BG485" s="32"/>
      <c r="BH485" s="32"/>
      <c r="BI485" s="32"/>
      <c r="BJ485" s="32"/>
      <c r="BK485" s="32"/>
      <c r="BL485" s="32"/>
      <c r="BM485" s="32"/>
      <c r="BN485" s="32"/>
      <c r="BO485" s="32"/>
      <c r="BP485" s="32"/>
      <c r="BQ485" s="32"/>
      <c r="BR485" s="32"/>
      <c r="BS485" s="32"/>
      <c r="BT485" s="32"/>
      <c r="BU485" s="32"/>
      <c r="BV485" s="32"/>
      <c r="BW485" s="32"/>
      <c r="BX485" s="32"/>
      <c r="BY485" s="32"/>
      <c r="BZ485" s="32"/>
      <c r="CA485" s="32"/>
      <c r="CB485" s="32"/>
      <c r="CC485" s="32"/>
      <c r="CD485" s="32"/>
      <c r="CE485" s="32"/>
      <c r="CF485" s="32"/>
      <c r="CG485" s="32"/>
      <c r="CH485" s="32"/>
      <c r="CI485" s="32"/>
      <c r="CJ485" s="32"/>
      <c r="CK485" s="32"/>
      <c r="CL485" s="32"/>
      <c r="CM485" s="32"/>
      <c r="CN485" s="32"/>
      <c r="CO485" s="32"/>
      <c r="CP485" s="32"/>
      <c r="CQ485" s="32"/>
      <c r="CR485" s="32"/>
      <c r="CS485" s="32"/>
      <c r="CT485" s="32"/>
      <c r="CU485" s="32"/>
      <c r="CV485" s="32"/>
      <c r="CW485" s="32"/>
      <c r="CX485" s="32"/>
      <c r="CY485" s="32"/>
      <c r="CZ485" s="32"/>
      <c r="DA485" s="32"/>
      <c r="DB485" s="32"/>
      <c r="DC485" s="32"/>
      <c r="DD485" s="32"/>
      <c r="DE485" s="32"/>
      <c r="DF485" s="32"/>
      <c r="DG485" s="32"/>
      <c r="DH485" s="32"/>
      <c r="DI485" s="32"/>
      <c r="DJ485" s="32"/>
      <c r="DK485" s="32"/>
      <c r="DL485" s="32"/>
      <c r="DM485" s="32"/>
      <c r="DN485" s="32"/>
      <c r="DO485" s="32"/>
      <c r="DP485" s="32"/>
      <c r="DQ485" s="32"/>
      <c r="DR485" s="32"/>
      <c r="DS485" s="32"/>
      <c r="DT485" s="32"/>
      <c r="DU485" s="32"/>
      <c r="DV485" s="32"/>
      <c r="DW485" s="32"/>
      <c r="DX485" s="32"/>
      <c r="DY485" s="32"/>
      <c r="DZ485" s="32"/>
      <c r="EA485" s="32"/>
      <c r="EB485" s="32"/>
      <c r="EC485" s="32"/>
    </row>
    <row r="486" spans="1:133" s="13" customFormat="1" ht="126" x14ac:dyDescent="0.25">
      <c r="A486" s="105" t="s">
        <v>869</v>
      </c>
      <c r="B486" s="119" t="s">
        <v>929</v>
      </c>
      <c r="C486" s="110" t="s">
        <v>958</v>
      </c>
      <c r="D486" s="127" t="s">
        <v>931</v>
      </c>
      <c r="E486" s="127">
        <v>3.1</v>
      </c>
      <c r="F486" s="127">
        <v>2.9</v>
      </c>
      <c r="G486" s="110" t="s">
        <v>965</v>
      </c>
      <c r="H486" s="110" t="s">
        <v>1616</v>
      </c>
      <c r="I486" s="103" t="s">
        <v>968</v>
      </c>
      <c r="J486" s="103" t="s">
        <v>1683</v>
      </c>
      <c r="K486" s="56">
        <v>1849</v>
      </c>
      <c r="L486" s="86">
        <v>2000</v>
      </c>
      <c r="M486" s="103" t="s">
        <v>814</v>
      </c>
      <c r="N486" s="56" t="s">
        <v>143</v>
      </c>
      <c r="O486" s="54" t="s">
        <v>934</v>
      </c>
      <c r="P486" s="58" t="s">
        <v>39</v>
      </c>
      <c r="Q486" s="171" t="s">
        <v>1680</v>
      </c>
      <c r="R486" s="182">
        <v>163</v>
      </c>
      <c r="S486" s="178">
        <v>400</v>
      </c>
      <c r="T486" s="178">
        <v>800</v>
      </c>
      <c r="U486" s="183">
        <v>637</v>
      </c>
      <c r="V486" s="59"/>
      <c r="W486" s="60"/>
      <c r="X486" s="60"/>
      <c r="Y486" s="60"/>
      <c r="Z486" s="60"/>
      <c r="AA486" s="61"/>
      <c r="AB486" s="62">
        <f>1330000000/3</f>
        <v>443333333.33333331</v>
      </c>
      <c r="AC486" s="60"/>
      <c r="AD486" s="60"/>
      <c r="AE486" s="60"/>
      <c r="AF486" s="60"/>
      <c r="AG486" s="60"/>
      <c r="AH486" s="63"/>
      <c r="AI486" s="62">
        <f>1396000000/3</f>
        <v>465333333.33333331</v>
      </c>
      <c r="AJ486" s="60"/>
      <c r="AK486" s="60"/>
      <c r="AL486" s="60"/>
      <c r="AM486" s="60"/>
      <c r="AN486" s="60"/>
      <c r="AO486" s="63"/>
      <c r="AP486" s="62">
        <f>1466000000/3</f>
        <v>488666666.66666669</v>
      </c>
      <c r="AQ486" s="60"/>
      <c r="AR486" s="60"/>
      <c r="AS486" s="60"/>
      <c r="AT486" s="60"/>
      <c r="AU486" s="60"/>
      <c r="AV486" s="64"/>
      <c r="AW486" s="55">
        <f t="shared" si="41"/>
        <v>0</v>
      </c>
      <c r="AX486" s="55">
        <f t="shared" si="42"/>
        <v>443333333.33333331</v>
      </c>
      <c r="AY486" s="55">
        <f t="shared" si="43"/>
        <v>465333333.33333331</v>
      </c>
      <c r="AZ486" s="55">
        <f t="shared" si="44"/>
        <v>488666666.66666669</v>
      </c>
      <c r="BA486" s="55">
        <f t="shared" si="45"/>
        <v>1397333333.3333333</v>
      </c>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row>
    <row r="487" spans="1:133" s="42" customFormat="1" ht="78.75" x14ac:dyDescent="0.25">
      <c r="A487" s="105" t="s">
        <v>869</v>
      </c>
      <c r="B487" s="119" t="s">
        <v>929</v>
      </c>
      <c r="C487" s="110" t="s">
        <v>958</v>
      </c>
      <c r="D487" s="127" t="s">
        <v>931</v>
      </c>
      <c r="E487" s="127">
        <v>3.1</v>
      </c>
      <c r="F487" s="127">
        <v>2.9</v>
      </c>
      <c r="G487" s="110" t="s">
        <v>969</v>
      </c>
      <c r="H487" s="110" t="s">
        <v>1617</v>
      </c>
      <c r="I487" s="103" t="s">
        <v>970</v>
      </c>
      <c r="J487" s="103" t="s">
        <v>1683</v>
      </c>
      <c r="K487" s="56">
        <v>43</v>
      </c>
      <c r="L487" s="86">
        <v>44</v>
      </c>
      <c r="M487" s="103" t="s">
        <v>814</v>
      </c>
      <c r="N487" s="56" t="s">
        <v>164</v>
      </c>
      <c r="O487" s="54" t="s">
        <v>934</v>
      </c>
      <c r="P487" s="58" t="s">
        <v>39</v>
      </c>
      <c r="Q487" s="171" t="s">
        <v>1680</v>
      </c>
      <c r="R487" s="182">
        <v>7</v>
      </c>
      <c r="S487" s="178">
        <v>13</v>
      </c>
      <c r="T487" s="178">
        <v>13</v>
      </c>
      <c r="U487" s="183">
        <v>11</v>
      </c>
      <c r="V487" s="59">
        <f>691000000/2</f>
        <v>345500000</v>
      </c>
      <c r="W487" s="60"/>
      <c r="X487" s="60"/>
      <c r="Y487" s="60"/>
      <c r="Z487" s="60"/>
      <c r="AA487" s="61"/>
      <c r="AB487" s="62">
        <f>671000000/3</f>
        <v>223666666.66666666</v>
      </c>
      <c r="AC487" s="60"/>
      <c r="AD487" s="60"/>
      <c r="AE487" s="60"/>
      <c r="AF487" s="60"/>
      <c r="AG487" s="60"/>
      <c r="AH487" s="63"/>
      <c r="AI487" s="62">
        <f>736000000/3</f>
        <v>245333333.33333334</v>
      </c>
      <c r="AJ487" s="60"/>
      <c r="AK487" s="60"/>
      <c r="AL487" s="60"/>
      <c r="AM487" s="60"/>
      <c r="AN487" s="60"/>
      <c r="AO487" s="63"/>
      <c r="AP487" s="62">
        <f>773000000/3</f>
        <v>257666666.66666666</v>
      </c>
      <c r="AQ487" s="60"/>
      <c r="AR487" s="60"/>
      <c r="AS487" s="60"/>
      <c r="AT487" s="60"/>
      <c r="AU487" s="60"/>
      <c r="AV487" s="64"/>
      <c r="AW487" s="55">
        <f t="shared" si="41"/>
        <v>345500000</v>
      </c>
      <c r="AX487" s="55">
        <f t="shared" si="42"/>
        <v>223666666.66666666</v>
      </c>
      <c r="AY487" s="55">
        <f t="shared" si="43"/>
        <v>245333333.33333334</v>
      </c>
      <c r="AZ487" s="55">
        <f t="shared" si="44"/>
        <v>257666666.66666666</v>
      </c>
      <c r="BA487" s="55">
        <f t="shared" si="45"/>
        <v>1072166666.6666666</v>
      </c>
    </row>
    <row r="488" spans="1:133" s="42" customFormat="1" ht="78.75" x14ac:dyDescent="0.25">
      <c r="A488" s="105" t="s">
        <v>869</v>
      </c>
      <c r="B488" s="119" t="s">
        <v>929</v>
      </c>
      <c r="C488" s="110" t="s">
        <v>958</v>
      </c>
      <c r="D488" s="127" t="s">
        <v>931</v>
      </c>
      <c r="E488" s="127">
        <v>3.1</v>
      </c>
      <c r="F488" s="127">
        <v>2.9</v>
      </c>
      <c r="G488" s="110" t="s">
        <v>969</v>
      </c>
      <c r="H488" s="110" t="s">
        <v>1618</v>
      </c>
      <c r="I488" s="103" t="s">
        <v>971</v>
      </c>
      <c r="J488" s="103" t="s">
        <v>1683</v>
      </c>
      <c r="K488" s="56">
        <v>8</v>
      </c>
      <c r="L488" s="86">
        <v>8</v>
      </c>
      <c r="M488" s="103" t="s">
        <v>814</v>
      </c>
      <c r="N488" s="56" t="s">
        <v>164</v>
      </c>
      <c r="O488" s="54" t="s">
        <v>934</v>
      </c>
      <c r="P488" s="58" t="s">
        <v>39</v>
      </c>
      <c r="Q488" s="171" t="s">
        <v>1680</v>
      </c>
      <c r="R488" s="182">
        <v>8</v>
      </c>
      <c r="S488" s="178">
        <v>0</v>
      </c>
      <c r="T488" s="178">
        <v>0</v>
      </c>
      <c r="U488" s="183">
        <v>0</v>
      </c>
      <c r="V488" s="59"/>
      <c r="W488" s="60"/>
      <c r="X488" s="60"/>
      <c r="Y488" s="60"/>
      <c r="Z488" s="60"/>
      <c r="AA488" s="61"/>
      <c r="AB488" s="62">
        <f>671000000/3</f>
        <v>223666666.66666666</v>
      </c>
      <c r="AC488" s="60"/>
      <c r="AD488" s="60"/>
      <c r="AE488" s="60"/>
      <c r="AF488" s="60"/>
      <c r="AG488" s="60"/>
      <c r="AH488" s="63"/>
      <c r="AI488" s="62">
        <f>736000000/3</f>
        <v>245333333.33333334</v>
      </c>
      <c r="AJ488" s="60"/>
      <c r="AK488" s="60"/>
      <c r="AL488" s="60"/>
      <c r="AM488" s="60"/>
      <c r="AN488" s="60"/>
      <c r="AO488" s="63"/>
      <c r="AP488" s="62">
        <f>773000000/3</f>
        <v>257666666.66666666</v>
      </c>
      <c r="AQ488" s="60"/>
      <c r="AR488" s="60"/>
      <c r="AS488" s="60"/>
      <c r="AT488" s="60"/>
      <c r="AU488" s="60"/>
      <c r="AV488" s="64"/>
      <c r="AW488" s="55">
        <f t="shared" si="41"/>
        <v>0</v>
      </c>
      <c r="AX488" s="55">
        <f t="shared" si="42"/>
        <v>223666666.66666666</v>
      </c>
      <c r="AY488" s="55">
        <f t="shared" si="43"/>
        <v>245333333.33333334</v>
      </c>
      <c r="AZ488" s="55">
        <f t="shared" si="44"/>
        <v>257666666.66666666</v>
      </c>
      <c r="BA488" s="55">
        <f t="shared" si="45"/>
        <v>726666666.66666663</v>
      </c>
    </row>
    <row r="489" spans="1:133" s="42" customFormat="1" ht="94.5" x14ac:dyDescent="0.25">
      <c r="A489" s="105" t="s">
        <v>869</v>
      </c>
      <c r="B489" s="119" t="s">
        <v>929</v>
      </c>
      <c r="C489" s="110" t="s">
        <v>958</v>
      </c>
      <c r="D489" s="127" t="s">
        <v>931</v>
      </c>
      <c r="E489" s="127">
        <v>3.1</v>
      </c>
      <c r="F489" s="127">
        <v>2.9</v>
      </c>
      <c r="G489" s="110" t="s">
        <v>969</v>
      </c>
      <c r="H489" s="110" t="s">
        <v>1619</v>
      </c>
      <c r="I489" s="103" t="s">
        <v>972</v>
      </c>
      <c r="J489" s="103" t="s">
        <v>1683</v>
      </c>
      <c r="K489" s="56">
        <v>0</v>
      </c>
      <c r="L489" s="86">
        <v>50</v>
      </c>
      <c r="M489" s="103" t="s">
        <v>814</v>
      </c>
      <c r="N489" s="56" t="s">
        <v>164</v>
      </c>
      <c r="O489" s="54" t="s">
        <v>934</v>
      </c>
      <c r="P489" s="58" t="s">
        <v>39</v>
      </c>
      <c r="Q489" s="171" t="s">
        <v>1680</v>
      </c>
      <c r="R489" s="182">
        <v>23</v>
      </c>
      <c r="S489" s="178">
        <v>10</v>
      </c>
      <c r="T489" s="178">
        <v>10</v>
      </c>
      <c r="U489" s="183">
        <v>7</v>
      </c>
      <c r="V489" s="59">
        <f>691000000/2</f>
        <v>345500000</v>
      </c>
      <c r="W489" s="60"/>
      <c r="X489" s="60"/>
      <c r="Y489" s="60"/>
      <c r="Z489" s="60"/>
      <c r="AA489" s="61"/>
      <c r="AB489" s="62">
        <f>671000000/3</f>
        <v>223666666.66666666</v>
      </c>
      <c r="AC489" s="60"/>
      <c r="AD489" s="60"/>
      <c r="AE489" s="60"/>
      <c r="AF489" s="60"/>
      <c r="AG489" s="60"/>
      <c r="AH489" s="63"/>
      <c r="AI489" s="62">
        <f>736000000/3</f>
        <v>245333333.33333334</v>
      </c>
      <c r="AJ489" s="60"/>
      <c r="AK489" s="60"/>
      <c r="AL489" s="60"/>
      <c r="AM489" s="60"/>
      <c r="AN489" s="60"/>
      <c r="AO489" s="63"/>
      <c r="AP489" s="62">
        <f>773000000/3</f>
        <v>257666666.66666666</v>
      </c>
      <c r="AQ489" s="60"/>
      <c r="AR489" s="60"/>
      <c r="AS489" s="60"/>
      <c r="AT489" s="60"/>
      <c r="AU489" s="60"/>
      <c r="AV489" s="64"/>
      <c r="AW489" s="55">
        <f t="shared" si="41"/>
        <v>345500000</v>
      </c>
      <c r="AX489" s="55">
        <f t="shared" si="42"/>
        <v>223666666.66666666</v>
      </c>
      <c r="AY489" s="55">
        <f t="shared" si="43"/>
        <v>245333333.33333334</v>
      </c>
      <c r="AZ489" s="55">
        <f t="shared" si="44"/>
        <v>257666666.66666666</v>
      </c>
      <c r="BA489" s="55">
        <f t="shared" si="45"/>
        <v>1072166666.6666666</v>
      </c>
    </row>
    <row r="490" spans="1:133" s="42" customFormat="1" ht="94.5" x14ac:dyDescent="0.25">
      <c r="A490" s="105" t="s">
        <v>869</v>
      </c>
      <c r="B490" s="119" t="s">
        <v>929</v>
      </c>
      <c r="C490" s="56" t="s">
        <v>973</v>
      </c>
      <c r="D490" s="110" t="s">
        <v>974</v>
      </c>
      <c r="E490" s="110" t="s">
        <v>90</v>
      </c>
      <c r="F490" s="121">
        <v>0.6</v>
      </c>
      <c r="G490" s="103" t="s">
        <v>975</v>
      </c>
      <c r="H490" s="103" t="s">
        <v>1620</v>
      </c>
      <c r="I490" s="103" t="s">
        <v>976</v>
      </c>
      <c r="J490" s="103" t="s">
        <v>1682</v>
      </c>
      <c r="K490" s="56" t="s">
        <v>90</v>
      </c>
      <c r="L490" s="179">
        <v>100</v>
      </c>
      <c r="M490" s="103" t="s">
        <v>814</v>
      </c>
      <c r="N490" s="56" t="s">
        <v>164</v>
      </c>
      <c r="O490" s="54" t="s">
        <v>934</v>
      </c>
      <c r="P490" s="58" t="s">
        <v>39</v>
      </c>
      <c r="Q490" s="171" t="s">
        <v>1680</v>
      </c>
      <c r="R490" s="182">
        <v>0</v>
      </c>
      <c r="S490" s="178">
        <v>17</v>
      </c>
      <c r="T490" s="178">
        <v>50</v>
      </c>
      <c r="U490" s="183">
        <v>33</v>
      </c>
      <c r="V490" s="59"/>
      <c r="W490" s="60"/>
      <c r="X490" s="60"/>
      <c r="Y490" s="60"/>
      <c r="Z490" s="60"/>
      <c r="AA490" s="61"/>
      <c r="AB490" s="62">
        <v>425666666667</v>
      </c>
      <c r="AC490" s="60"/>
      <c r="AD490" s="60"/>
      <c r="AE490" s="60"/>
      <c r="AF490" s="60">
        <v>300000000000</v>
      </c>
      <c r="AG490" s="60"/>
      <c r="AH490" s="63"/>
      <c r="AI490" s="62"/>
      <c r="AJ490" s="60"/>
      <c r="AK490" s="60"/>
      <c r="AL490" s="60"/>
      <c r="AM490" s="60">
        <v>600000000000</v>
      </c>
      <c r="AN490" s="60"/>
      <c r="AO490" s="63"/>
      <c r="AP490" s="62"/>
      <c r="AQ490" s="60"/>
      <c r="AR490" s="60">
        <v>300000000000</v>
      </c>
      <c r="AS490" s="60"/>
      <c r="AT490" s="60"/>
      <c r="AU490" s="60"/>
      <c r="AV490" s="64"/>
      <c r="AW490" s="55">
        <f t="shared" si="41"/>
        <v>0</v>
      </c>
      <c r="AX490" s="55">
        <f t="shared" si="42"/>
        <v>725666666667</v>
      </c>
      <c r="AY490" s="55">
        <f t="shared" si="43"/>
        <v>600000000000</v>
      </c>
      <c r="AZ490" s="55">
        <f t="shared" si="44"/>
        <v>300000000000</v>
      </c>
      <c r="BA490" s="55">
        <f t="shared" si="45"/>
        <v>1625666666667</v>
      </c>
    </row>
    <row r="491" spans="1:133" s="42" customFormat="1" ht="94.5" x14ac:dyDescent="0.25">
      <c r="A491" s="105" t="s">
        <v>869</v>
      </c>
      <c r="B491" s="119" t="s">
        <v>929</v>
      </c>
      <c r="C491" s="56" t="s">
        <v>973</v>
      </c>
      <c r="D491" s="110" t="s">
        <v>974</v>
      </c>
      <c r="E491" s="110" t="s">
        <v>90</v>
      </c>
      <c r="F491" s="121">
        <v>0.6</v>
      </c>
      <c r="G491" s="110" t="s">
        <v>978</v>
      </c>
      <c r="H491" s="110" t="s">
        <v>1621</v>
      </c>
      <c r="I491" s="103" t="s">
        <v>979</v>
      </c>
      <c r="J491" s="103" t="s">
        <v>1683</v>
      </c>
      <c r="K491" s="56">
        <v>0</v>
      </c>
      <c r="L491" s="86">
        <v>2</v>
      </c>
      <c r="M491" s="103" t="s">
        <v>814</v>
      </c>
      <c r="N491" s="56" t="s">
        <v>164</v>
      </c>
      <c r="O491" s="54" t="s">
        <v>934</v>
      </c>
      <c r="P491" s="58" t="s">
        <v>981</v>
      </c>
      <c r="Q491" s="171" t="s">
        <v>1680</v>
      </c>
      <c r="R491" s="182">
        <v>0</v>
      </c>
      <c r="S491" s="182">
        <v>2</v>
      </c>
      <c r="T491" s="178">
        <v>0</v>
      </c>
      <c r="U491" s="183">
        <v>0</v>
      </c>
      <c r="V491" s="59">
        <v>2000000</v>
      </c>
      <c r="W491" s="60"/>
      <c r="X491" s="60"/>
      <c r="Y491" s="60"/>
      <c r="Z491" s="60"/>
      <c r="AA491" s="61"/>
      <c r="AB491" s="62"/>
      <c r="AC491" s="60"/>
      <c r="AD491" s="60"/>
      <c r="AE491" s="60"/>
      <c r="AF491" s="60"/>
      <c r="AG491" s="60"/>
      <c r="AH491" s="63"/>
      <c r="AI491" s="62"/>
      <c r="AJ491" s="60"/>
      <c r="AK491" s="60"/>
      <c r="AL491" s="60"/>
      <c r="AM491" s="60"/>
      <c r="AN491" s="60"/>
      <c r="AO491" s="63"/>
      <c r="AP491" s="62"/>
      <c r="AQ491" s="60"/>
      <c r="AR491" s="60"/>
      <c r="AS491" s="60"/>
      <c r="AT491" s="60"/>
      <c r="AU491" s="60"/>
      <c r="AV491" s="64"/>
      <c r="AW491" s="55">
        <f t="shared" si="41"/>
        <v>2000000</v>
      </c>
      <c r="AX491" s="55">
        <f t="shared" si="42"/>
        <v>0</v>
      </c>
      <c r="AY491" s="55">
        <f t="shared" si="43"/>
        <v>0</v>
      </c>
      <c r="AZ491" s="55">
        <f t="shared" si="44"/>
        <v>0</v>
      </c>
      <c r="BA491" s="55">
        <f t="shared" si="45"/>
        <v>2000000</v>
      </c>
    </row>
    <row r="492" spans="1:133" s="13" customFormat="1" ht="94.5" x14ac:dyDescent="0.25">
      <c r="A492" s="105" t="s">
        <v>869</v>
      </c>
      <c r="B492" s="119" t="s">
        <v>929</v>
      </c>
      <c r="C492" s="56" t="s">
        <v>973</v>
      </c>
      <c r="D492" s="110" t="s">
        <v>974</v>
      </c>
      <c r="E492" s="110" t="s">
        <v>90</v>
      </c>
      <c r="F492" s="121">
        <v>0.6</v>
      </c>
      <c r="G492" s="97" t="s">
        <v>983</v>
      </c>
      <c r="H492" s="97" t="s">
        <v>1622</v>
      </c>
      <c r="I492" s="103" t="s">
        <v>984</v>
      </c>
      <c r="J492" s="103" t="s">
        <v>1682</v>
      </c>
      <c r="K492" s="56" t="s">
        <v>90</v>
      </c>
      <c r="L492" s="179">
        <v>100</v>
      </c>
      <c r="M492" s="103" t="s">
        <v>814</v>
      </c>
      <c r="N492" s="56" t="s">
        <v>164</v>
      </c>
      <c r="O492" s="54" t="s">
        <v>934</v>
      </c>
      <c r="P492" s="58" t="s">
        <v>39</v>
      </c>
      <c r="Q492" s="171" t="s">
        <v>1680</v>
      </c>
      <c r="R492" s="182">
        <v>0</v>
      </c>
      <c r="S492" s="178">
        <v>46</v>
      </c>
      <c r="T492" s="178">
        <v>54</v>
      </c>
      <c r="U492" s="183">
        <v>0</v>
      </c>
      <c r="V492" s="59"/>
      <c r="W492" s="60"/>
      <c r="X492" s="60"/>
      <c r="Y492" s="60"/>
      <c r="Z492" s="60"/>
      <c r="AA492" s="61"/>
      <c r="AB492" s="62">
        <v>19622182588</v>
      </c>
      <c r="AC492" s="60"/>
      <c r="AD492" s="60"/>
      <c r="AE492" s="60"/>
      <c r="AF492" s="60"/>
      <c r="AG492" s="60"/>
      <c r="AH492" s="63"/>
      <c r="AI492" s="62">
        <v>9977093602</v>
      </c>
      <c r="AJ492" s="60"/>
      <c r="AK492" s="60"/>
      <c r="AL492" s="60"/>
      <c r="AM492" s="60"/>
      <c r="AN492" s="60"/>
      <c r="AO492" s="63"/>
      <c r="AP492" s="62"/>
      <c r="AQ492" s="60"/>
      <c r="AR492" s="60"/>
      <c r="AS492" s="60"/>
      <c r="AT492" s="60"/>
      <c r="AU492" s="60"/>
      <c r="AV492" s="64"/>
      <c r="AW492" s="55">
        <f t="shared" si="41"/>
        <v>0</v>
      </c>
      <c r="AX492" s="55">
        <f t="shared" si="42"/>
        <v>19622182588</v>
      </c>
      <c r="AY492" s="55">
        <f t="shared" si="43"/>
        <v>9977093602</v>
      </c>
      <c r="AZ492" s="55">
        <f t="shared" si="44"/>
        <v>0</v>
      </c>
      <c r="BA492" s="55">
        <f t="shared" si="45"/>
        <v>29599276190</v>
      </c>
      <c r="BB492" s="32"/>
      <c r="BC492" s="32"/>
      <c r="BD492" s="32"/>
      <c r="BE492" s="32"/>
      <c r="BF492" s="32"/>
      <c r="BG492" s="32"/>
      <c r="BH492" s="32"/>
      <c r="BI492" s="32"/>
      <c r="BJ492" s="32"/>
      <c r="BK492" s="32"/>
      <c r="BL492" s="32"/>
      <c r="BM492" s="32"/>
      <c r="BN492" s="32"/>
      <c r="BO492" s="32"/>
      <c r="BP492" s="32"/>
      <c r="BQ492" s="32"/>
      <c r="BR492" s="32"/>
      <c r="BS492" s="32"/>
      <c r="BT492" s="32"/>
      <c r="BU492" s="32"/>
      <c r="BV492" s="32"/>
      <c r="BW492" s="32"/>
      <c r="BX492" s="32"/>
      <c r="BY492" s="32"/>
      <c r="BZ492" s="32"/>
      <c r="CA492" s="32"/>
      <c r="CB492" s="32"/>
      <c r="CC492" s="32"/>
      <c r="CD492" s="32"/>
      <c r="CE492" s="32"/>
      <c r="CF492" s="32"/>
      <c r="CG492" s="32"/>
      <c r="CH492" s="32"/>
      <c r="CI492" s="32"/>
      <c r="CJ492" s="32"/>
      <c r="CK492" s="32"/>
      <c r="CL492" s="32"/>
      <c r="CM492" s="32"/>
      <c r="CN492" s="32"/>
      <c r="CO492" s="32"/>
      <c r="CP492" s="32"/>
      <c r="CQ492" s="32"/>
      <c r="CR492" s="32"/>
      <c r="CS492" s="32"/>
      <c r="CT492" s="32"/>
      <c r="CU492" s="32"/>
      <c r="CV492" s="32"/>
      <c r="CW492" s="32"/>
      <c r="CX492" s="32"/>
      <c r="CY492" s="32"/>
      <c r="CZ492" s="32"/>
      <c r="DA492" s="32"/>
      <c r="DB492" s="32"/>
      <c r="DC492" s="32"/>
      <c r="DD492" s="32"/>
      <c r="DE492" s="32"/>
      <c r="DF492" s="32"/>
      <c r="DG492" s="32"/>
      <c r="DH492" s="32"/>
      <c r="DI492" s="32"/>
      <c r="DJ492" s="32"/>
      <c r="DK492" s="32"/>
      <c r="DL492" s="32"/>
      <c r="DM492" s="32"/>
      <c r="DN492" s="32"/>
      <c r="DO492" s="32"/>
      <c r="DP492" s="32"/>
      <c r="DQ492" s="32"/>
      <c r="DR492" s="32"/>
      <c r="DS492" s="32"/>
      <c r="DT492" s="32"/>
      <c r="DU492" s="32"/>
      <c r="DV492" s="32"/>
      <c r="DW492" s="32"/>
      <c r="DX492" s="32"/>
      <c r="DY492" s="32"/>
      <c r="DZ492" s="32"/>
      <c r="EA492" s="32"/>
      <c r="EB492" s="32"/>
      <c r="EC492" s="32"/>
    </row>
    <row r="493" spans="1:133" s="13" customFormat="1" ht="94.5" x14ac:dyDescent="0.25">
      <c r="A493" s="105" t="s">
        <v>869</v>
      </c>
      <c r="B493" s="119" t="s">
        <v>929</v>
      </c>
      <c r="C493" s="56" t="s">
        <v>973</v>
      </c>
      <c r="D493" s="110" t="s">
        <v>974</v>
      </c>
      <c r="E493" s="110" t="s">
        <v>90</v>
      </c>
      <c r="F493" s="121">
        <v>0.6</v>
      </c>
      <c r="G493" s="103" t="s">
        <v>985</v>
      </c>
      <c r="H493" s="103" t="s">
        <v>1623</v>
      </c>
      <c r="I493" s="103" t="s">
        <v>986</v>
      </c>
      <c r="J493" s="103" t="s">
        <v>1683</v>
      </c>
      <c r="K493" s="56">
        <v>0</v>
      </c>
      <c r="L493" s="86">
        <v>8</v>
      </c>
      <c r="M493" s="103" t="s">
        <v>814</v>
      </c>
      <c r="N493" s="56" t="s">
        <v>164</v>
      </c>
      <c r="O493" s="54" t="s">
        <v>934</v>
      </c>
      <c r="P493" s="58" t="s">
        <v>39</v>
      </c>
      <c r="Q493" s="171" t="s">
        <v>1680</v>
      </c>
      <c r="R493" s="182">
        <v>0</v>
      </c>
      <c r="S493" s="178">
        <v>3</v>
      </c>
      <c r="T493" s="178">
        <v>3</v>
      </c>
      <c r="U493" s="183">
        <v>2</v>
      </c>
      <c r="V493" s="59">
        <v>1250000000</v>
      </c>
      <c r="W493" s="60"/>
      <c r="X493" s="60"/>
      <c r="Y493" s="60"/>
      <c r="Z493" s="60"/>
      <c r="AA493" s="61"/>
      <c r="AB493" s="62">
        <v>1645000000</v>
      </c>
      <c r="AC493" s="60"/>
      <c r="AD493" s="60"/>
      <c r="AE493" s="60"/>
      <c r="AF493" s="60"/>
      <c r="AG493" s="60"/>
      <c r="AH493" s="63"/>
      <c r="AI493" s="62">
        <v>2100000000</v>
      </c>
      <c r="AJ493" s="60"/>
      <c r="AK493" s="60"/>
      <c r="AL493" s="60"/>
      <c r="AM493" s="60"/>
      <c r="AN493" s="60"/>
      <c r="AO493" s="63"/>
      <c r="AP493" s="62">
        <v>600000000</v>
      </c>
      <c r="AQ493" s="60"/>
      <c r="AR493" s="60"/>
      <c r="AS493" s="60"/>
      <c r="AT493" s="60"/>
      <c r="AU493" s="60"/>
      <c r="AV493" s="64"/>
      <c r="AW493" s="55">
        <f t="shared" si="41"/>
        <v>1250000000</v>
      </c>
      <c r="AX493" s="55">
        <f t="shared" si="42"/>
        <v>1645000000</v>
      </c>
      <c r="AY493" s="55">
        <f t="shared" si="43"/>
        <v>2100000000</v>
      </c>
      <c r="AZ493" s="55">
        <f t="shared" si="44"/>
        <v>600000000</v>
      </c>
      <c r="BA493" s="55">
        <f t="shared" si="45"/>
        <v>5595000000</v>
      </c>
      <c r="BB493" s="32"/>
      <c r="BC493" s="32"/>
      <c r="BD493" s="32"/>
      <c r="BE493" s="32"/>
      <c r="BF493" s="32"/>
      <c r="BG493" s="32"/>
      <c r="BH493" s="32"/>
      <c r="BI493" s="32"/>
      <c r="BJ493" s="32"/>
      <c r="BK493" s="32"/>
      <c r="BL493" s="32"/>
      <c r="BM493" s="32"/>
      <c r="BN493" s="32"/>
      <c r="BO493" s="32"/>
      <c r="BP493" s="32"/>
      <c r="BQ493" s="32"/>
      <c r="BR493" s="32"/>
      <c r="BS493" s="32"/>
      <c r="BT493" s="32"/>
      <c r="BU493" s="32"/>
      <c r="BV493" s="32"/>
      <c r="BW493" s="32"/>
      <c r="BX493" s="32"/>
      <c r="BY493" s="32"/>
      <c r="BZ493" s="32"/>
      <c r="CA493" s="32"/>
      <c r="CB493" s="32"/>
      <c r="CC493" s="32"/>
      <c r="CD493" s="32"/>
      <c r="CE493" s="32"/>
      <c r="CF493" s="32"/>
      <c r="CG493" s="32"/>
      <c r="CH493" s="32"/>
      <c r="CI493" s="32"/>
      <c r="CJ493" s="32"/>
      <c r="CK493" s="32"/>
      <c r="CL493" s="32"/>
      <c r="CM493" s="32"/>
      <c r="CN493" s="32"/>
      <c r="CO493" s="32"/>
      <c r="CP493" s="32"/>
      <c r="CQ493" s="32"/>
      <c r="CR493" s="32"/>
      <c r="CS493" s="32"/>
      <c r="CT493" s="32"/>
      <c r="CU493" s="32"/>
      <c r="CV493" s="32"/>
      <c r="CW493" s="32"/>
      <c r="CX493" s="32"/>
      <c r="CY493" s="32"/>
      <c r="CZ493" s="32"/>
      <c r="DA493" s="32"/>
      <c r="DB493" s="32"/>
      <c r="DC493" s="32"/>
      <c r="DD493" s="32"/>
      <c r="DE493" s="32"/>
      <c r="DF493" s="32"/>
      <c r="DG493" s="32"/>
      <c r="DH493" s="32"/>
      <c r="DI493" s="32"/>
      <c r="DJ493" s="32"/>
      <c r="DK493" s="32"/>
      <c r="DL493" s="32"/>
      <c r="DM493" s="32"/>
      <c r="DN493" s="32"/>
      <c r="DO493" s="32"/>
      <c r="DP493" s="32"/>
      <c r="DQ493" s="32"/>
      <c r="DR493" s="32"/>
      <c r="DS493" s="32"/>
      <c r="DT493" s="32"/>
      <c r="DU493" s="32"/>
      <c r="DV493" s="32"/>
      <c r="DW493" s="32"/>
      <c r="DX493" s="32"/>
      <c r="DY493" s="32"/>
      <c r="DZ493" s="32"/>
      <c r="EA493" s="32"/>
      <c r="EB493" s="32"/>
      <c r="EC493" s="32"/>
    </row>
    <row r="494" spans="1:133" s="13" customFormat="1" ht="110.25" x14ac:dyDescent="0.25">
      <c r="A494" s="105" t="s">
        <v>869</v>
      </c>
      <c r="B494" s="119" t="s">
        <v>929</v>
      </c>
      <c r="C494" s="56" t="s">
        <v>973</v>
      </c>
      <c r="D494" s="110" t="s">
        <v>974</v>
      </c>
      <c r="E494" s="110" t="s">
        <v>90</v>
      </c>
      <c r="F494" s="121">
        <v>0.6</v>
      </c>
      <c r="G494" s="103" t="s">
        <v>987</v>
      </c>
      <c r="H494" s="103" t="s">
        <v>1620</v>
      </c>
      <c r="I494" s="103" t="s">
        <v>976</v>
      </c>
      <c r="J494" s="103" t="s">
        <v>1682</v>
      </c>
      <c r="K494" s="56" t="s">
        <v>90</v>
      </c>
      <c r="L494" s="179">
        <v>100</v>
      </c>
      <c r="M494" s="103" t="s">
        <v>814</v>
      </c>
      <c r="N494" s="56" t="s">
        <v>187</v>
      </c>
      <c r="O494" s="54" t="s">
        <v>934</v>
      </c>
      <c r="P494" s="58" t="s">
        <v>39</v>
      </c>
      <c r="Q494" s="171" t="s">
        <v>1680</v>
      </c>
      <c r="R494" s="182">
        <v>0</v>
      </c>
      <c r="S494" s="178">
        <v>40</v>
      </c>
      <c r="T494" s="178">
        <v>40</v>
      </c>
      <c r="U494" s="183">
        <v>20</v>
      </c>
      <c r="V494" s="59"/>
      <c r="W494" s="60"/>
      <c r="X494" s="60"/>
      <c r="Y494" s="60"/>
      <c r="Z494" s="60"/>
      <c r="AA494" s="61"/>
      <c r="AB494" s="62"/>
      <c r="AC494" s="60"/>
      <c r="AD494" s="60"/>
      <c r="AE494" s="60"/>
      <c r="AF494" s="60"/>
      <c r="AG494" s="60"/>
      <c r="AH494" s="63">
        <v>44946591732.400002</v>
      </c>
      <c r="AI494" s="62"/>
      <c r="AJ494" s="60"/>
      <c r="AK494" s="60"/>
      <c r="AL494" s="60"/>
      <c r="AM494" s="60"/>
      <c r="AN494" s="60"/>
      <c r="AO494" s="63">
        <v>44946591732.400002</v>
      </c>
      <c r="AP494" s="62"/>
      <c r="AQ494" s="60"/>
      <c r="AR494" s="60"/>
      <c r="AS494" s="60"/>
      <c r="AT494" s="60"/>
      <c r="AU494" s="60"/>
      <c r="AV494" s="64">
        <v>22473295866.200001</v>
      </c>
      <c r="AW494" s="55">
        <f t="shared" si="41"/>
        <v>0</v>
      </c>
      <c r="AX494" s="55">
        <f t="shared" si="42"/>
        <v>44946591732.400002</v>
      </c>
      <c r="AY494" s="55">
        <f t="shared" si="43"/>
        <v>44946591732.400002</v>
      </c>
      <c r="AZ494" s="55">
        <f t="shared" si="44"/>
        <v>22473295866.200001</v>
      </c>
      <c r="BA494" s="55">
        <f t="shared" si="45"/>
        <v>112366479331</v>
      </c>
      <c r="BB494" s="32"/>
      <c r="BC494" s="32"/>
      <c r="BD494" s="32"/>
      <c r="BE494" s="32"/>
      <c r="BF494" s="32"/>
      <c r="BG494" s="32"/>
      <c r="BH494" s="32"/>
      <c r="BI494" s="32"/>
      <c r="BJ494" s="32"/>
      <c r="BK494" s="32"/>
      <c r="BL494" s="32"/>
      <c r="BM494" s="32"/>
      <c r="BN494" s="32"/>
      <c r="BO494" s="32"/>
      <c r="BP494" s="32"/>
      <c r="BQ494" s="32"/>
      <c r="BR494" s="32"/>
      <c r="BS494" s="32"/>
      <c r="BT494" s="32"/>
      <c r="BU494" s="32"/>
      <c r="BV494" s="32"/>
      <c r="BW494" s="32"/>
      <c r="BX494" s="32"/>
      <c r="BY494" s="32"/>
      <c r="BZ494" s="32"/>
      <c r="CA494" s="32"/>
      <c r="CB494" s="32"/>
      <c r="CC494" s="32"/>
      <c r="CD494" s="32"/>
      <c r="CE494" s="32"/>
      <c r="CF494" s="32"/>
      <c r="CG494" s="32"/>
      <c r="CH494" s="32"/>
      <c r="CI494" s="32"/>
      <c r="CJ494" s="32"/>
      <c r="CK494" s="32"/>
      <c r="CL494" s="32"/>
      <c r="CM494" s="32"/>
      <c r="CN494" s="32"/>
      <c r="CO494" s="32"/>
      <c r="CP494" s="32"/>
      <c r="CQ494" s="32"/>
      <c r="CR494" s="32"/>
      <c r="CS494" s="32"/>
      <c r="CT494" s="32"/>
      <c r="CU494" s="32"/>
      <c r="CV494" s="32"/>
      <c r="CW494" s="32"/>
      <c r="CX494" s="32"/>
      <c r="CY494" s="32"/>
      <c r="CZ494" s="32"/>
      <c r="DA494" s="32"/>
      <c r="DB494" s="32"/>
      <c r="DC494" s="32"/>
      <c r="DD494" s="32"/>
      <c r="DE494" s="32"/>
      <c r="DF494" s="32"/>
      <c r="DG494" s="32"/>
      <c r="DH494" s="32"/>
      <c r="DI494" s="32"/>
      <c r="DJ494" s="32"/>
      <c r="DK494" s="32"/>
      <c r="DL494" s="32"/>
      <c r="DM494" s="32"/>
      <c r="DN494" s="32"/>
      <c r="DO494" s="32"/>
      <c r="DP494" s="32"/>
      <c r="DQ494" s="32"/>
      <c r="DR494" s="32"/>
      <c r="DS494" s="32"/>
      <c r="DT494" s="32"/>
      <c r="DU494" s="32"/>
      <c r="DV494" s="32"/>
      <c r="DW494" s="32"/>
      <c r="DX494" s="32"/>
      <c r="DY494" s="32"/>
      <c r="DZ494" s="32"/>
      <c r="EA494" s="32"/>
      <c r="EB494" s="32"/>
      <c r="EC494" s="32"/>
    </row>
    <row r="495" spans="1:133" s="13" customFormat="1" ht="94.5" x14ac:dyDescent="0.25">
      <c r="A495" s="105" t="s">
        <v>869</v>
      </c>
      <c r="B495" s="119" t="s">
        <v>929</v>
      </c>
      <c r="C495" s="119" t="s">
        <v>988</v>
      </c>
      <c r="D495" s="110" t="s">
        <v>974</v>
      </c>
      <c r="E495" s="110" t="s">
        <v>90</v>
      </c>
      <c r="F495" s="121">
        <v>0.6</v>
      </c>
      <c r="G495" s="103" t="s">
        <v>989</v>
      </c>
      <c r="H495" s="103" t="s">
        <v>1620</v>
      </c>
      <c r="I495" s="103" t="s">
        <v>990</v>
      </c>
      <c r="J495" s="103" t="s">
        <v>1682</v>
      </c>
      <c r="K495" s="178">
        <v>0</v>
      </c>
      <c r="L495" s="179">
        <v>100</v>
      </c>
      <c r="M495" s="103" t="s">
        <v>776</v>
      </c>
      <c r="N495" s="56" t="s">
        <v>187</v>
      </c>
      <c r="O495" s="54" t="s">
        <v>934</v>
      </c>
      <c r="P495" s="58" t="s">
        <v>39</v>
      </c>
      <c r="Q495" s="171" t="s">
        <v>1680</v>
      </c>
      <c r="R495" s="182">
        <v>0</v>
      </c>
      <c r="S495" s="178">
        <v>20</v>
      </c>
      <c r="T495" s="178">
        <v>30</v>
      </c>
      <c r="U495" s="183">
        <v>50</v>
      </c>
      <c r="V495" s="59"/>
      <c r="W495" s="60"/>
      <c r="X495" s="60"/>
      <c r="Y495" s="60"/>
      <c r="Z495" s="60"/>
      <c r="AA495" s="61"/>
      <c r="AB495" s="62">
        <v>100000000</v>
      </c>
      <c r="AC495" s="60"/>
      <c r="AD495" s="60"/>
      <c r="AE495" s="60"/>
      <c r="AF495" s="60"/>
      <c r="AG495" s="60"/>
      <c r="AH495" s="63"/>
      <c r="AI495" s="62">
        <v>100000000</v>
      </c>
      <c r="AJ495" s="60"/>
      <c r="AK495" s="60"/>
      <c r="AL495" s="60"/>
      <c r="AM495" s="60"/>
      <c r="AN495" s="60"/>
      <c r="AO495" s="63"/>
      <c r="AP495" s="62">
        <v>100000000</v>
      </c>
      <c r="AQ495" s="60"/>
      <c r="AR495" s="60"/>
      <c r="AS495" s="60"/>
      <c r="AT495" s="60"/>
      <c r="AU495" s="60"/>
      <c r="AV495" s="64"/>
      <c r="AW495" s="55">
        <f t="shared" si="41"/>
        <v>0</v>
      </c>
      <c r="AX495" s="55">
        <f t="shared" si="42"/>
        <v>100000000</v>
      </c>
      <c r="AY495" s="55">
        <f t="shared" si="43"/>
        <v>100000000</v>
      </c>
      <c r="AZ495" s="55">
        <f t="shared" si="44"/>
        <v>100000000</v>
      </c>
      <c r="BA495" s="55">
        <f t="shared" si="45"/>
        <v>300000000</v>
      </c>
      <c r="BB495" s="32"/>
      <c r="BC495" s="32"/>
      <c r="BD495" s="32"/>
      <c r="BE495" s="32"/>
      <c r="BF495" s="32"/>
      <c r="BG495" s="32"/>
      <c r="BH495" s="32"/>
      <c r="BI495" s="32"/>
      <c r="BJ495" s="32"/>
      <c r="BK495" s="32"/>
      <c r="BL495" s="32"/>
      <c r="BM495" s="32"/>
      <c r="BN495" s="32"/>
      <c r="BO495" s="32"/>
      <c r="BP495" s="32"/>
      <c r="BQ495" s="32"/>
      <c r="BR495" s="32"/>
      <c r="BS495" s="32"/>
      <c r="BT495" s="32"/>
      <c r="BU495" s="32"/>
      <c r="BV495" s="32"/>
      <c r="BW495" s="32"/>
      <c r="BX495" s="32"/>
      <c r="BY495" s="32"/>
      <c r="BZ495" s="32"/>
      <c r="CA495" s="32"/>
      <c r="CB495" s="32"/>
      <c r="CC495" s="32"/>
      <c r="CD495" s="32"/>
      <c r="CE495" s="32"/>
      <c r="CF495" s="32"/>
      <c r="CG495" s="32"/>
      <c r="CH495" s="32"/>
      <c r="CI495" s="32"/>
      <c r="CJ495" s="32"/>
      <c r="CK495" s="32"/>
      <c r="CL495" s="32"/>
      <c r="CM495" s="32"/>
      <c r="CN495" s="32"/>
      <c r="CO495" s="32"/>
      <c r="CP495" s="32"/>
      <c r="CQ495" s="32"/>
      <c r="CR495" s="32"/>
      <c r="CS495" s="32"/>
      <c r="CT495" s="32"/>
      <c r="CU495" s="32"/>
      <c r="CV495" s="32"/>
      <c r="CW495" s="32"/>
      <c r="CX495" s="32"/>
      <c r="CY495" s="32"/>
      <c r="CZ495" s="32"/>
      <c r="DA495" s="32"/>
      <c r="DB495" s="32"/>
      <c r="DC495" s="32"/>
      <c r="DD495" s="32"/>
      <c r="DE495" s="32"/>
      <c r="DF495" s="32"/>
      <c r="DG495" s="32"/>
      <c r="DH495" s="32"/>
      <c r="DI495" s="32"/>
      <c r="DJ495" s="32"/>
      <c r="DK495" s="32"/>
      <c r="DL495" s="32"/>
      <c r="DM495" s="32"/>
      <c r="DN495" s="32"/>
      <c r="DO495" s="32"/>
      <c r="DP495" s="32"/>
      <c r="DQ495" s="32"/>
      <c r="DR495" s="32"/>
      <c r="DS495" s="32"/>
      <c r="DT495" s="32"/>
      <c r="DU495" s="32"/>
      <c r="DV495" s="32"/>
      <c r="DW495" s="32"/>
      <c r="DX495" s="32"/>
      <c r="DY495" s="32"/>
      <c r="DZ495" s="32"/>
      <c r="EA495" s="32"/>
      <c r="EB495" s="32"/>
      <c r="EC495" s="32"/>
    </row>
    <row r="496" spans="1:133" s="13" customFormat="1" ht="94.5" x14ac:dyDescent="0.25">
      <c r="A496" s="105" t="s">
        <v>869</v>
      </c>
      <c r="B496" s="119" t="s">
        <v>929</v>
      </c>
      <c r="C496" s="119" t="s">
        <v>988</v>
      </c>
      <c r="D496" s="110" t="s">
        <v>974</v>
      </c>
      <c r="E496" s="110" t="s">
        <v>90</v>
      </c>
      <c r="F496" s="121">
        <v>0.6</v>
      </c>
      <c r="G496" s="103" t="s">
        <v>991</v>
      </c>
      <c r="H496" s="103" t="s">
        <v>1624</v>
      </c>
      <c r="I496" s="103" t="s">
        <v>992</v>
      </c>
      <c r="J496" s="103" t="s">
        <v>1683</v>
      </c>
      <c r="K496" s="56">
        <v>0</v>
      </c>
      <c r="L496" s="86">
        <v>2</v>
      </c>
      <c r="M496" s="103" t="s">
        <v>1005</v>
      </c>
      <c r="N496" s="56" t="s">
        <v>187</v>
      </c>
      <c r="O496" s="54" t="s">
        <v>934</v>
      </c>
      <c r="P496" s="58" t="s">
        <v>39</v>
      </c>
      <c r="Q496" s="171" t="s">
        <v>1680</v>
      </c>
      <c r="R496" s="182">
        <v>0</v>
      </c>
      <c r="S496" s="178">
        <v>0</v>
      </c>
      <c r="T496" s="178">
        <v>1</v>
      </c>
      <c r="U496" s="183">
        <v>1</v>
      </c>
      <c r="V496" s="59"/>
      <c r="W496" s="60"/>
      <c r="X496" s="60"/>
      <c r="Y496" s="60"/>
      <c r="Z496" s="60"/>
      <c r="AA496" s="61"/>
      <c r="AB496" s="62"/>
      <c r="AC496" s="60"/>
      <c r="AD496" s="60"/>
      <c r="AE496" s="60"/>
      <c r="AF496" s="60"/>
      <c r="AG496" s="60"/>
      <c r="AH496" s="63"/>
      <c r="AI496" s="62">
        <v>100000000</v>
      </c>
      <c r="AJ496" s="60"/>
      <c r="AK496" s="60"/>
      <c r="AL496" s="60"/>
      <c r="AM496" s="60"/>
      <c r="AN496" s="60"/>
      <c r="AO496" s="63"/>
      <c r="AP496" s="62">
        <v>100000000</v>
      </c>
      <c r="AQ496" s="60"/>
      <c r="AR496" s="60"/>
      <c r="AS496" s="60"/>
      <c r="AT496" s="60"/>
      <c r="AU496" s="60"/>
      <c r="AV496" s="64"/>
      <c r="AW496" s="55">
        <f t="shared" si="41"/>
        <v>0</v>
      </c>
      <c r="AX496" s="55">
        <f t="shared" si="42"/>
        <v>0</v>
      </c>
      <c r="AY496" s="55">
        <f t="shared" si="43"/>
        <v>100000000</v>
      </c>
      <c r="AZ496" s="55">
        <f t="shared" si="44"/>
        <v>100000000</v>
      </c>
      <c r="BA496" s="55">
        <f t="shared" si="45"/>
        <v>200000000</v>
      </c>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row>
    <row r="497" spans="1:133" s="13" customFormat="1" ht="94.5" x14ac:dyDescent="0.25">
      <c r="A497" s="105" t="s">
        <v>869</v>
      </c>
      <c r="B497" s="119" t="s">
        <v>929</v>
      </c>
      <c r="C497" s="119" t="s">
        <v>988</v>
      </c>
      <c r="D497" s="110" t="s">
        <v>974</v>
      </c>
      <c r="E497" s="110" t="s">
        <v>90</v>
      </c>
      <c r="F497" s="121">
        <v>0.6</v>
      </c>
      <c r="G497" s="103" t="s">
        <v>994</v>
      </c>
      <c r="H497" s="103" t="s">
        <v>1625</v>
      </c>
      <c r="I497" s="103" t="s">
        <v>995</v>
      </c>
      <c r="J497" s="103" t="s">
        <v>1683</v>
      </c>
      <c r="K497" s="56">
        <v>0</v>
      </c>
      <c r="L497" s="86">
        <v>10</v>
      </c>
      <c r="M497" s="103" t="s">
        <v>333</v>
      </c>
      <c r="N497" s="56" t="s">
        <v>187</v>
      </c>
      <c r="O497" s="54" t="s">
        <v>934</v>
      </c>
      <c r="P497" s="58" t="s">
        <v>39</v>
      </c>
      <c r="Q497" s="171" t="s">
        <v>1680</v>
      </c>
      <c r="R497" s="182">
        <v>4</v>
      </c>
      <c r="S497" s="178">
        <v>6</v>
      </c>
      <c r="T497" s="178">
        <v>0</v>
      </c>
      <c r="U497" s="183">
        <v>0</v>
      </c>
      <c r="V497" s="59">
        <v>40000000</v>
      </c>
      <c r="W497" s="60"/>
      <c r="X497" s="60"/>
      <c r="Y497" s="60"/>
      <c r="Z497" s="60"/>
      <c r="AA497" s="61"/>
      <c r="AB497" s="62">
        <v>150000000</v>
      </c>
      <c r="AC497" s="60"/>
      <c r="AD497" s="60"/>
      <c r="AE497" s="60"/>
      <c r="AF497" s="60"/>
      <c r="AG497" s="60"/>
      <c r="AH497" s="63"/>
      <c r="AI497" s="62"/>
      <c r="AJ497" s="60"/>
      <c r="AK497" s="60"/>
      <c r="AL497" s="60"/>
      <c r="AM497" s="60"/>
      <c r="AN497" s="60"/>
      <c r="AO497" s="63"/>
      <c r="AP497" s="62"/>
      <c r="AQ497" s="60"/>
      <c r="AR497" s="60"/>
      <c r="AS497" s="60"/>
      <c r="AT497" s="60"/>
      <c r="AU497" s="60"/>
      <c r="AV497" s="64"/>
      <c r="AW497" s="55">
        <f t="shared" si="41"/>
        <v>40000000</v>
      </c>
      <c r="AX497" s="55">
        <f t="shared" si="42"/>
        <v>150000000</v>
      </c>
      <c r="AY497" s="55">
        <f t="shared" si="43"/>
        <v>0</v>
      </c>
      <c r="AZ497" s="55">
        <f t="shared" si="44"/>
        <v>0</v>
      </c>
      <c r="BA497" s="55">
        <f t="shared" si="45"/>
        <v>190000000</v>
      </c>
      <c r="BB497" s="32"/>
      <c r="BC497" s="32"/>
      <c r="BD497" s="32"/>
      <c r="BE497" s="32"/>
      <c r="BF497" s="32"/>
      <c r="BG497" s="32"/>
      <c r="BH497" s="32"/>
      <c r="BI497" s="32"/>
      <c r="BJ497" s="32"/>
      <c r="BK497" s="32"/>
      <c r="BL497" s="32"/>
      <c r="BM497" s="32"/>
      <c r="BN497" s="32"/>
      <c r="BO497" s="32"/>
      <c r="BP497" s="32"/>
      <c r="BQ497" s="32"/>
      <c r="BR497" s="32"/>
      <c r="BS497" s="32"/>
      <c r="BT497" s="32"/>
      <c r="BU497" s="32"/>
      <c r="BV497" s="32"/>
      <c r="BW497" s="32"/>
      <c r="BX497" s="32"/>
      <c r="BY497" s="32"/>
      <c r="BZ497" s="32"/>
      <c r="CA497" s="32"/>
      <c r="CB497" s="32"/>
      <c r="CC497" s="32"/>
      <c r="CD497" s="32"/>
      <c r="CE497" s="32"/>
      <c r="CF497" s="32"/>
      <c r="CG497" s="32"/>
      <c r="CH497" s="32"/>
      <c r="CI497" s="32"/>
      <c r="CJ497" s="32"/>
      <c r="CK497" s="32"/>
      <c r="CL497" s="32"/>
      <c r="CM497" s="32"/>
      <c r="CN497" s="32"/>
      <c r="CO497" s="32"/>
      <c r="CP497" s="32"/>
      <c r="CQ497" s="32"/>
      <c r="CR497" s="32"/>
      <c r="CS497" s="32"/>
      <c r="CT497" s="32"/>
      <c r="CU497" s="32"/>
      <c r="CV497" s="32"/>
      <c r="CW497" s="32"/>
      <c r="CX497" s="32"/>
      <c r="CY497" s="32"/>
      <c r="CZ497" s="32"/>
      <c r="DA497" s="32"/>
      <c r="DB497" s="32"/>
      <c r="DC497" s="32"/>
      <c r="DD497" s="32"/>
      <c r="DE497" s="32"/>
      <c r="DF497" s="32"/>
      <c r="DG497" s="32"/>
      <c r="DH497" s="32"/>
      <c r="DI497" s="32"/>
      <c r="DJ497" s="32"/>
      <c r="DK497" s="32"/>
      <c r="DL497" s="32"/>
      <c r="DM497" s="32"/>
      <c r="DN497" s="32"/>
      <c r="DO497" s="32"/>
      <c r="DP497" s="32"/>
      <c r="DQ497" s="32"/>
      <c r="DR497" s="32"/>
      <c r="DS497" s="32"/>
      <c r="DT497" s="32"/>
      <c r="DU497" s="32"/>
      <c r="DV497" s="32"/>
      <c r="DW497" s="32"/>
      <c r="DX497" s="32"/>
      <c r="DY497" s="32"/>
      <c r="DZ497" s="32"/>
      <c r="EA497" s="32"/>
      <c r="EB497" s="32"/>
      <c r="EC497" s="32"/>
    </row>
    <row r="498" spans="1:133" s="13" customFormat="1" ht="94.5" x14ac:dyDescent="0.25">
      <c r="A498" s="105" t="s">
        <v>869</v>
      </c>
      <c r="B498" s="119" t="s">
        <v>929</v>
      </c>
      <c r="C498" s="119" t="s">
        <v>988</v>
      </c>
      <c r="D498" s="110" t="s">
        <v>974</v>
      </c>
      <c r="E498" s="110" t="s">
        <v>90</v>
      </c>
      <c r="F498" s="121">
        <v>0.6</v>
      </c>
      <c r="G498" s="103" t="s">
        <v>996</v>
      </c>
      <c r="H498" s="103" t="s">
        <v>1626</v>
      </c>
      <c r="I498" s="103" t="s">
        <v>997</v>
      </c>
      <c r="J498" s="103" t="s">
        <v>1683</v>
      </c>
      <c r="K498" s="56">
        <v>2</v>
      </c>
      <c r="L498" s="86">
        <v>5</v>
      </c>
      <c r="M498" s="103" t="s">
        <v>333</v>
      </c>
      <c r="N498" s="56" t="s">
        <v>998</v>
      </c>
      <c r="O498" s="54" t="s">
        <v>934</v>
      </c>
      <c r="P498" s="58" t="s">
        <v>39</v>
      </c>
      <c r="Q498" s="171" t="s">
        <v>1680</v>
      </c>
      <c r="R498" s="182">
        <v>1</v>
      </c>
      <c r="S498" s="178">
        <v>2</v>
      </c>
      <c r="T498" s="178">
        <v>1</v>
      </c>
      <c r="U498" s="183">
        <v>1</v>
      </c>
      <c r="V498" s="59">
        <v>184000000</v>
      </c>
      <c r="W498" s="60"/>
      <c r="X498" s="60"/>
      <c r="Y498" s="60"/>
      <c r="Z498" s="60"/>
      <c r="AA498" s="61"/>
      <c r="AB498" s="62">
        <v>150000000</v>
      </c>
      <c r="AC498" s="60"/>
      <c r="AD498" s="60"/>
      <c r="AE498" s="60"/>
      <c r="AF498" s="60"/>
      <c r="AG498" s="60"/>
      <c r="AH498" s="63"/>
      <c r="AI498" s="62">
        <v>150000000</v>
      </c>
      <c r="AJ498" s="60"/>
      <c r="AK498" s="60"/>
      <c r="AL498" s="60"/>
      <c r="AM498" s="60"/>
      <c r="AN498" s="60"/>
      <c r="AO498" s="63"/>
      <c r="AP498" s="62">
        <v>100000000</v>
      </c>
      <c r="AQ498" s="60"/>
      <c r="AR498" s="60"/>
      <c r="AS498" s="60"/>
      <c r="AT498" s="60"/>
      <c r="AU498" s="60"/>
      <c r="AV498" s="64"/>
      <c r="AW498" s="55">
        <f t="shared" si="41"/>
        <v>184000000</v>
      </c>
      <c r="AX498" s="55">
        <f t="shared" si="42"/>
        <v>150000000</v>
      </c>
      <c r="AY498" s="55">
        <f t="shared" si="43"/>
        <v>150000000</v>
      </c>
      <c r="AZ498" s="55">
        <f t="shared" si="44"/>
        <v>100000000</v>
      </c>
      <c r="BA498" s="55">
        <f t="shared" si="45"/>
        <v>584000000</v>
      </c>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c r="CP498" s="4"/>
      <c r="CQ498" s="4"/>
      <c r="CR498" s="4"/>
      <c r="CS498" s="4"/>
      <c r="CT498" s="4"/>
      <c r="CU498" s="4"/>
      <c r="CV498" s="4"/>
      <c r="CW498" s="4"/>
      <c r="CX498" s="4"/>
      <c r="CY498" s="4"/>
      <c r="CZ498" s="4"/>
      <c r="DA498" s="4"/>
      <c r="DB498" s="4"/>
      <c r="DC498" s="4"/>
      <c r="DD498" s="4"/>
      <c r="DE498" s="4"/>
      <c r="DF498" s="4"/>
      <c r="DG498" s="4"/>
      <c r="DH498" s="4"/>
      <c r="DI498" s="4"/>
      <c r="DJ498" s="4"/>
      <c r="DK498" s="4"/>
      <c r="DL498" s="4"/>
      <c r="DM498" s="4"/>
      <c r="DN498" s="4"/>
      <c r="DO498" s="4"/>
      <c r="DP498" s="4"/>
      <c r="DQ498" s="4"/>
      <c r="DR498" s="4"/>
      <c r="DS498" s="4"/>
      <c r="DT498" s="4"/>
      <c r="DU498" s="4"/>
      <c r="DV498" s="4"/>
      <c r="DW498" s="4"/>
      <c r="DX498" s="4"/>
      <c r="DY498" s="4"/>
      <c r="DZ498" s="4"/>
      <c r="EA498" s="4"/>
      <c r="EB498" s="4"/>
      <c r="EC498" s="4"/>
    </row>
    <row r="499" spans="1:133" s="13" customFormat="1" ht="94.5" x14ac:dyDescent="0.25">
      <c r="A499" s="105" t="s">
        <v>869</v>
      </c>
      <c r="B499" s="119" t="s">
        <v>929</v>
      </c>
      <c r="C499" s="119" t="s">
        <v>988</v>
      </c>
      <c r="D499" s="110" t="s">
        <v>974</v>
      </c>
      <c r="E499" s="110" t="s">
        <v>90</v>
      </c>
      <c r="F499" s="121">
        <v>0.6</v>
      </c>
      <c r="G499" s="103" t="s">
        <v>1000</v>
      </c>
      <c r="H499" s="103" t="s">
        <v>1627</v>
      </c>
      <c r="I499" s="103" t="s">
        <v>1001</v>
      </c>
      <c r="J499" s="103" t="s">
        <v>1682</v>
      </c>
      <c r="K499" s="178">
        <v>0</v>
      </c>
      <c r="L499" s="179">
        <v>100</v>
      </c>
      <c r="M499" s="103" t="s">
        <v>333</v>
      </c>
      <c r="N499" s="56" t="s">
        <v>187</v>
      </c>
      <c r="O499" s="54" t="s">
        <v>934</v>
      </c>
      <c r="P499" s="58" t="s">
        <v>42</v>
      </c>
      <c r="Q499" s="54" t="s">
        <v>1679</v>
      </c>
      <c r="R499" s="182">
        <v>100</v>
      </c>
      <c r="S499" s="178">
        <v>100</v>
      </c>
      <c r="T499" s="178">
        <v>100</v>
      </c>
      <c r="U499" s="183">
        <v>100</v>
      </c>
      <c r="V499" s="59">
        <v>50000000</v>
      </c>
      <c r="W499" s="60"/>
      <c r="X499" s="60"/>
      <c r="Y499" s="60"/>
      <c r="Z499" s="60"/>
      <c r="AA499" s="61"/>
      <c r="AB499" s="62">
        <v>150000000</v>
      </c>
      <c r="AC499" s="60"/>
      <c r="AD499" s="60"/>
      <c r="AE499" s="60"/>
      <c r="AF499" s="60"/>
      <c r="AG499" s="60"/>
      <c r="AH499" s="63"/>
      <c r="AI499" s="62">
        <v>50000000</v>
      </c>
      <c r="AJ499" s="60"/>
      <c r="AK499" s="60"/>
      <c r="AL499" s="60"/>
      <c r="AM499" s="60"/>
      <c r="AN499" s="60"/>
      <c r="AO499" s="63"/>
      <c r="AP499" s="62">
        <v>50000000</v>
      </c>
      <c r="AQ499" s="60"/>
      <c r="AR499" s="60"/>
      <c r="AS499" s="60"/>
      <c r="AT499" s="60"/>
      <c r="AU499" s="60"/>
      <c r="AV499" s="64"/>
      <c r="AW499" s="55">
        <f t="shared" si="41"/>
        <v>50000000</v>
      </c>
      <c r="AX499" s="55">
        <f t="shared" si="42"/>
        <v>150000000</v>
      </c>
      <c r="AY499" s="55">
        <f t="shared" si="43"/>
        <v>50000000</v>
      </c>
      <c r="AZ499" s="55">
        <f t="shared" si="44"/>
        <v>50000000</v>
      </c>
      <c r="BA499" s="55">
        <f t="shared" si="45"/>
        <v>300000000</v>
      </c>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4"/>
      <c r="CF499" s="4"/>
      <c r="CG499" s="4"/>
      <c r="CH499" s="4"/>
      <c r="CI499" s="4"/>
      <c r="CJ499" s="4"/>
      <c r="CK499" s="4"/>
      <c r="CL499" s="4"/>
      <c r="CM499" s="4"/>
      <c r="CN499" s="4"/>
      <c r="CO499" s="4"/>
      <c r="CP499" s="4"/>
      <c r="CQ499" s="4"/>
      <c r="CR499" s="4"/>
      <c r="CS499" s="4"/>
      <c r="CT499" s="4"/>
      <c r="CU499" s="4"/>
      <c r="CV499" s="4"/>
      <c r="CW499" s="4"/>
      <c r="CX499" s="4"/>
      <c r="CY499" s="4"/>
      <c r="CZ499" s="4"/>
      <c r="DA499" s="4"/>
      <c r="DB499" s="4"/>
      <c r="DC499" s="4"/>
      <c r="DD499" s="4"/>
      <c r="DE499" s="4"/>
      <c r="DF499" s="4"/>
      <c r="DG499" s="4"/>
      <c r="DH499" s="4"/>
      <c r="DI499" s="4"/>
      <c r="DJ499" s="4"/>
      <c r="DK499" s="4"/>
      <c r="DL499" s="4"/>
      <c r="DM499" s="4"/>
      <c r="DN499" s="4"/>
      <c r="DO499" s="4"/>
      <c r="DP499" s="4"/>
      <c r="DQ499" s="4"/>
      <c r="DR499" s="4"/>
      <c r="DS499" s="4"/>
      <c r="DT499" s="4"/>
      <c r="DU499" s="4"/>
      <c r="DV499" s="4"/>
      <c r="DW499" s="4"/>
      <c r="DX499" s="4"/>
      <c r="DY499" s="4"/>
      <c r="DZ499" s="4"/>
      <c r="EA499" s="4"/>
      <c r="EB499" s="4"/>
      <c r="EC499" s="4"/>
    </row>
    <row r="500" spans="1:133" s="13" customFormat="1" ht="110.25" x14ac:dyDescent="0.25">
      <c r="A500" s="105" t="s">
        <v>869</v>
      </c>
      <c r="B500" s="119" t="s">
        <v>929</v>
      </c>
      <c r="C500" s="119" t="s">
        <v>988</v>
      </c>
      <c r="D500" s="110" t="s">
        <v>974</v>
      </c>
      <c r="E500" s="110" t="s">
        <v>90</v>
      </c>
      <c r="F500" s="121">
        <v>0.6</v>
      </c>
      <c r="G500" s="103" t="s">
        <v>1002</v>
      </c>
      <c r="H500" s="103" t="s">
        <v>1628</v>
      </c>
      <c r="I500" s="103" t="s">
        <v>1003</v>
      </c>
      <c r="J500" s="103" t="s">
        <v>1682</v>
      </c>
      <c r="K500" s="178">
        <v>0</v>
      </c>
      <c r="L500" s="179">
        <v>100</v>
      </c>
      <c r="M500" s="103" t="s">
        <v>835</v>
      </c>
      <c r="N500" s="56" t="s">
        <v>187</v>
      </c>
      <c r="O500" s="54" t="s">
        <v>934</v>
      </c>
      <c r="P500" s="58" t="s">
        <v>39</v>
      </c>
      <c r="Q500" s="171" t="s">
        <v>1680</v>
      </c>
      <c r="R500" s="182">
        <v>0</v>
      </c>
      <c r="S500" s="178">
        <v>0</v>
      </c>
      <c r="T500" s="178">
        <v>50</v>
      </c>
      <c r="U500" s="183">
        <v>50</v>
      </c>
      <c r="V500" s="59"/>
      <c r="W500" s="60"/>
      <c r="X500" s="60"/>
      <c r="Y500" s="60"/>
      <c r="Z500" s="60"/>
      <c r="AA500" s="61"/>
      <c r="AB500" s="62"/>
      <c r="AC500" s="60"/>
      <c r="AD500" s="60">
        <v>3494000000</v>
      </c>
      <c r="AE500" s="60"/>
      <c r="AF500" s="60"/>
      <c r="AG500" s="60"/>
      <c r="AH500" s="63"/>
      <c r="AI500" s="62"/>
      <c r="AJ500" s="60"/>
      <c r="AK500" s="60">
        <v>2708000000</v>
      </c>
      <c r="AL500" s="60"/>
      <c r="AM500" s="60"/>
      <c r="AN500" s="60"/>
      <c r="AO500" s="63"/>
      <c r="AP500" s="62"/>
      <c r="AQ500" s="60"/>
      <c r="AR500" s="60"/>
      <c r="AS500" s="60"/>
      <c r="AT500" s="60"/>
      <c r="AU500" s="60"/>
      <c r="AV500" s="64"/>
      <c r="AW500" s="55">
        <f t="shared" si="41"/>
        <v>0</v>
      </c>
      <c r="AX500" s="55">
        <f t="shared" si="42"/>
        <v>3494000000</v>
      </c>
      <c r="AY500" s="55">
        <f t="shared" si="43"/>
        <v>2708000000</v>
      </c>
      <c r="AZ500" s="55">
        <f t="shared" si="44"/>
        <v>0</v>
      </c>
      <c r="BA500" s="55">
        <f t="shared" si="45"/>
        <v>6202000000</v>
      </c>
      <c r="BB500" s="32"/>
      <c r="BC500" s="32"/>
      <c r="BD500" s="32"/>
      <c r="BE500" s="32"/>
      <c r="BF500" s="32"/>
      <c r="BG500" s="32"/>
      <c r="BH500" s="32"/>
      <c r="BI500" s="32"/>
      <c r="BJ500" s="32"/>
      <c r="BK500" s="32"/>
      <c r="BL500" s="32"/>
      <c r="BM500" s="32"/>
      <c r="BN500" s="32"/>
      <c r="BO500" s="32"/>
      <c r="BP500" s="32"/>
      <c r="BQ500" s="32"/>
      <c r="BR500" s="32"/>
      <c r="BS500" s="32"/>
      <c r="BT500" s="32"/>
      <c r="BU500" s="32"/>
      <c r="BV500" s="32"/>
      <c r="BW500" s="32"/>
      <c r="BX500" s="32"/>
      <c r="BY500" s="32"/>
      <c r="BZ500" s="32"/>
      <c r="CA500" s="32"/>
      <c r="CB500" s="32"/>
      <c r="CC500" s="32"/>
      <c r="CD500" s="32"/>
      <c r="CE500" s="32"/>
      <c r="CF500" s="32"/>
      <c r="CG500" s="32"/>
      <c r="CH500" s="32"/>
      <c r="CI500" s="32"/>
      <c r="CJ500" s="32"/>
      <c r="CK500" s="32"/>
      <c r="CL500" s="32"/>
      <c r="CM500" s="32"/>
      <c r="CN500" s="32"/>
      <c r="CO500" s="32"/>
      <c r="CP500" s="32"/>
      <c r="CQ500" s="32"/>
      <c r="CR500" s="32"/>
      <c r="CS500" s="32"/>
      <c r="CT500" s="32"/>
      <c r="CU500" s="32"/>
      <c r="CV500" s="32"/>
      <c r="CW500" s="32"/>
      <c r="CX500" s="32"/>
      <c r="CY500" s="32"/>
      <c r="CZ500" s="32"/>
      <c r="DA500" s="32"/>
      <c r="DB500" s="32"/>
      <c r="DC500" s="32"/>
      <c r="DD500" s="32"/>
      <c r="DE500" s="32"/>
      <c r="DF500" s="32"/>
      <c r="DG500" s="32"/>
      <c r="DH500" s="32"/>
      <c r="DI500" s="32"/>
      <c r="DJ500" s="32"/>
      <c r="DK500" s="32"/>
      <c r="DL500" s="32"/>
      <c r="DM500" s="32"/>
      <c r="DN500" s="32"/>
      <c r="DO500" s="32"/>
      <c r="DP500" s="32"/>
      <c r="DQ500" s="32"/>
      <c r="DR500" s="32"/>
      <c r="DS500" s="32"/>
      <c r="DT500" s="32"/>
      <c r="DU500" s="32"/>
      <c r="DV500" s="32"/>
      <c r="DW500" s="32"/>
      <c r="DX500" s="32"/>
      <c r="DY500" s="32"/>
      <c r="DZ500" s="32"/>
      <c r="EA500" s="32"/>
      <c r="EB500" s="32"/>
      <c r="EC500" s="32"/>
    </row>
    <row r="501" spans="1:133" s="13" customFormat="1" ht="94.5" x14ac:dyDescent="0.25">
      <c r="A501" s="105" t="s">
        <v>869</v>
      </c>
      <c r="B501" s="119" t="s">
        <v>929</v>
      </c>
      <c r="C501" s="119" t="s">
        <v>988</v>
      </c>
      <c r="D501" s="110" t="s">
        <v>974</v>
      </c>
      <c r="E501" s="110" t="s">
        <v>90</v>
      </c>
      <c r="F501" s="121">
        <v>0.6</v>
      </c>
      <c r="G501" s="103" t="s">
        <v>1004</v>
      </c>
      <c r="H501" s="103" t="s">
        <v>1620</v>
      </c>
      <c r="I501" s="103" t="s">
        <v>976</v>
      </c>
      <c r="J501" s="103" t="s">
        <v>1682</v>
      </c>
      <c r="K501" s="178">
        <v>0</v>
      </c>
      <c r="L501" s="179">
        <v>100</v>
      </c>
      <c r="M501" s="103" t="s">
        <v>776</v>
      </c>
      <c r="N501" s="56" t="s">
        <v>187</v>
      </c>
      <c r="O501" s="54" t="s">
        <v>934</v>
      </c>
      <c r="P501" s="58" t="s">
        <v>39</v>
      </c>
      <c r="Q501" s="171" t="s">
        <v>1680</v>
      </c>
      <c r="R501" s="182">
        <v>0</v>
      </c>
      <c r="S501" s="178">
        <v>20</v>
      </c>
      <c r="T501" s="178">
        <v>30</v>
      </c>
      <c r="U501" s="183">
        <v>50</v>
      </c>
      <c r="V501" s="59"/>
      <c r="W501" s="60"/>
      <c r="X501" s="60"/>
      <c r="Y501" s="60"/>
      <c r="Z501" s="60"/>
      <c r="AA501" s="61"/>
      <c r="AB501" s="62">
        <v>100000000</v>
      </c>
      <c r="AC501" s="60"/>
      <c r="AD501" s="60"/>
      <c r="AE501" s="60"/>
      <c r="AF501" s="60"/>
      <c r="AG501" s="60"/>
      <c r="AH501" s="63"/>
      <c r="AI501" s="62">
        <v>100000000</v>
      </c>
      <c r="AJ501" s="60"/>
      <c r="AK501" s="60"/>
      <c r="AL501" s="60"/>
      <c r="AM501" s="60"/>
      <c r="AN501" s="60"/>
      <c r="AO501" s="63"/>
      <c r="AP501" s="62">
        <v>100000000</v>
      </c>
      <c r="AQ501" s="60"/>
      <c r="AR501" s="60"/>
      <c r="AS501" s="60"/>
      <c r="AT501" s="60"/>
      <c r="AU501" s="60"/>
      <c r="AV501" s="64"/>
      <c r="AW501" s="55">
        <f t="shared" si="41"/>
        <v>0</v>
      </c>
      <c r="AX501" s="55">
        <f t="shared" si="42"/>
        <v>100000000</v>
      </c>
      <c r="AY501" s="55">
        <f t="shared" si="43"/>
        <v>100000000</v>
      </c>
      <c r="AZ501" s="55">
        <f t="shared" si="44"/>
        <v>100000000</v>
      </c>
      <c r="BA501" s="55">
        <f t="shared" si="45"/>
        <v>300000000</v>
      </c>
      <c r="BB501" s="32"/>
      <c r="BC501" s="32"/>
      <c r="BD501" s="32"/>
      <c r="BE501" s="32"/>
      <c r="BF501" s="32"/>
      <c r="BG501" s="32"/>
      <c r="BH501" s="32"/>
      <c r="BI501" s="32"/>
      <c r="BJ501" s="32"/>
      <c r="BK501" s="32"/>
      <c r="BL501" s="32"/>
      <c r="BM501" s="32"/>
      <c r="BN501" s="32"/>
      <c r="BO501" s="32"/>
      <c r="BP501" s="32"/>
      <c r="BQ501" s="32"/>
      <c r="BR501" s="32"/>
      <c r="BS501" s="32"/>
      <c r="BT501" s="32"/>
      <c r="BU501" s="32"/>
      <c r="BV501" s="32"/>
      <c r="BW501" s="32"/>
      <c r="BX501" s="32"/>
      <c r="BY501" s="32"/>
      <c r="BZ501" s="32"/>
      <c r="CA501" s="32"/>
      <c r="CB501" s="32"/>
      <c r="CC501" s="32"/>
      <c r="CD501" s="32"/>
      <c r="CE501" s="32"/>
      <c r="CF501" s="32"/>
      <c r="CG501" s="32"/>
      <c r="CH501" s="32"/>
      <c r="CI501" s="32"/>
      <c r="CJ501" s="32"/>
      <c r="CK501" s="32"/>
      <c r="CL501" s="32"/>
      <c r="CM501" s="32"/>
      <c r="CN501" s="32"/>
      <c r="CO501" s="32"/>
      <c r="CP501" s="32"/>
      <c r="CQ501" s="32"/>
      <c r="CR501" s="32"/>
      <c r="CS501" s="32"/>
      <c r="CT501" s="32"/>
      <c r="CU501" s="32"/>
      <c r="CV501" s="32"/>
      <c r="CW501" s="32"/>
      <c r="CX501" s="32"/>
      <c r="CY501" s="32"/>
      <c r="CZ501" s="32"/>
      <c r="DA501" s="32"/>
      <c r="DB501" s="32"/>
      <c r="DC501" s="32"/>
      <c r="DD501" s="32"/>
      <c r="DE501" s="32"/>
      <c r="DF501" s="32"/>
      <c r="DG501" s="32"/>
      <c r="DH501" s="32"/>
      <c r="DI501" s="32"/>
      <c r="DJ501" s="32"/>
      <c r="DK501" s="32"/>
      <c r="DL501" s="32"/>
      <c r="DM501" s="32"/>
      <c r="DN501" s="32"/>
      <c r="DO501" s="32"/>
      <c r="DP501" s="32"/>
      <c r="DQ501" s="32"/>
      <c r="DR501" s="32"/>
      <c r="DS501" s="32"/>
      <c r="DT501" s="32"/>
      <c r="DU501" s="32"/>
      <c r="DV501" s="32"/>
      <c r="DW501" s="32"/>
      <c r="DX501" s="32"/>
      <c r="DY501" s="32"/>
      <c r="DZ501" s="32"/>
      <c r="EA501" s="32"/>
      <c r="EB501" s="32"/>
      <c r="EC501" s="32"/>
    </row>
    <row r="502" spans="1:133" s="13" customFormat="1" ht="141.75" x14ac:dyDescent="0.25">
      <c r="A502" s="129" t="s">
        <v>999</v>
      </c>
      <c r="B502" s="134" t="s">
        <v>1006</v>
      </c>
      <c r="C502" s="56" t="s">
        <v>1007</v>
      </c>
      <c r="D502" s="56" t="s">
        <v>1008</v>
      </c>
      <c r="E502" s="56" t="s">
        <v>1009</v>
      </c>
      <c r="F502" s="56" t="s">
        <v>1010</v>
      </c>
      <c r="G502" s="110" t="s">
        <v>1011</v>
      </c>
      <c r="H502" s="110" t="s">
        <v>1629</v>
      </c>
      <c r="I502" s="103" t="s">
        <v>1012</v>
      </c>
      <c r="J502" s="103" t="s">
        <v>1682</v>
      </c>
      <c r="K502" s="178">
        <v>0</v>
      </c>
      <c r="L502" s="179">
        <v>100</v>
      </c>
      <c r="M502" s="103" t="s">
        <v>1013</v>
      </c>
      <c r="N502" s="56" t="s">
        <v>998</v>
      </c>
      <c r="O502" s="54" t="s">
        <v>1014</v>
      </c>
      <c r="P502" s="58" t="s">
        <v>39</v>
      </c>
      <c r="Q502" s="171" t="s">
        <v>1680</v>
      </c>
      <c r="R502" s="182">
        <v>0</v>
      </c>
      <c r="S502" s="178">
        <v>20</v>
      </c>
      <c r="T502" s="178">
        <v>30</v>
      </c>
      <c r="U502" s="183">
        <v>50</v>
      </c>
      <c r="V502" s="59"/>
      <c r="W502" s="60"/>
      <c r="X502" s="60"/>
      <c r="Y502" s="60"/>
      <c r="Z502" s="60"/>
      <c r="AA502" s="61"/>
      <c r="AB502" s="62">
        <v>200000000</v>
      </c>
      <c r="AC502" s="60"/>
      <c r="AD502" s="60"/>
      <c r="AE502" s="60"/>
      <c r="AF502" s="60"/>
      <c r="AG502" s="60"/>
      <c r="AH502" s="63"/>
      <c r="AI502" s="62">
        <v>200000000</v>
      </c>
      <c r="AJ502" s="60"/>
      <c r="AK502" s="60"/>
      <c r="AL502" s="60"/>
      <c r="AM502" s="60"/>
      <c r="AN502" s="60"/>
      <c r="AO502" s="63"/>
      <c r="AP502" s="62">
        <v>200000000</v>
      </c>
      <c r="AQ502" s="60"/>
      <c r="AR502" s="60"/>
      <c r="AS502" s="60"/>
      <c r="AT502" s="60"/>
      <c r="AU502" s="60"/>
      <c r="AV502" s="64"/>
      <c r="AW502" s="55">
        <f t="shared" si="41"/>
        <v>0</v>
      </c>
      <c r="AX502" s="55">
        <f t="shared" si="42"/>
        <v>200000000</v>
      </c>
      <c r="AY502" s="55">
        <f t="shared" si="43"/>
        <v>200000000</v>
      </c>
      <c r="AZ502" s="55">
        <f t="shared" si="44"/>
        <v>200000000</v>
      </c>
      <c r="BA502" s="55">
        <f t="shared" si="45"/>
        <v>600000000</v>
      </c>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c r="CP502" s="4"/>
      <c r="CQ502" s="4"/>
      <c r="CR502" s="4"/>
      <c r="CS502" s="4"/>
      <c r="CT502" s="4"/>
      <c r="CU502" s="4"/>
      <c r="CV502" s="4"/>
      <c r="CW502" s="4"/>
      <c r="CX502" s="4"/>
      <c r="CY502" s="4"/>
      <c r="CZ502" s="4"/>
      <c r="DA502" s="4"/>
      <c r="DB502" s="4"/>
      <c r="DC502" s="4"/>
      <c r="DD502" s="4"/>
      <c r="DE502" s="4"/>
      <c r="DF502" s="4"/>
      <c r="DG502" s="4"/>
      <c r="DH502" s="4"/>
      <c r="DI502" s="4"/>
      <c r="DJ502" s="4"/>
      <c r="DK502" s="4"/>
      <c r="DL502" s="4"/>
      <c r="DM502" s="4"/>
      <c r="DN502" s="4"/>
      <c r="DO502" s="4"/>
      <c r="DP502" s="4"/>
      <c r="DQ502" s="4"/>
      <c r="DR502" s="4"/>
      <c r="DS502" s="4"/>
      <c r="DT502" s="4"/>
      <c r="DU502" s="4"/>
      <c r="DV502" s="4"/>
      <c r="DW502" s="4"/>
      <c r="DX502" s="4"/>
      <c r="DY502" s="4"/>
      <c r="DZ502" s="4"/>
      <c r="EA502" s="4"/>
      <c r="EB502" s="4"/>
      <c r="EC502" s="4"/>
    </row>
    <row r="503" spans="1:133" s="13" customFormat="1" ht="141.75" x14ac:dyDescent="0.25">
      <c r="A503" s="129" t="s">
        <v>999</v>
      </c>
      <c r="B503" s="134" t="s">
        <v>1006</v>
      </c>
      <c r="C503" s="56" t="s">
        <v>1007</v>
      </c>
      <c r="D503" s="56" t="s">
        <v>1008</v>
      </c>
      <c r="E503" s="56" t="s">
        <v>1009</v>
      </c>
      <c r="F503" s="56" t="s">
        <v>1010</v>
      </c>
      <c r="G503" s="110" t="s">
        <v>1011</v>
      </c>
      <c r="H503" s="110" t="s">
        <v>1630</v>
      </c>
      <c r="I503" s="103" t="s">
        <v>1015</v>
      </c>
      <c r="J503" s="103" t="s">
        <v>1682</v>
      </c>
      <c r="K503" s="178">
        <v>0</v>
      </c>
      <c r="L503" s="179">
        <v>100</v>
      </c>
      <c r="M503" s="98" t="s">
        <v>1013</v>
      </c>
      <c r="N503" s="56" t="s">
        <v>998</v>
      </c>
      <c r="O503" s="54" t="s">
        <v>1014</v>
      </c>
      <c r="P503" s="58" t="s">
        <v>39</v>
      </c>
      <c r="Q503" s="171" t="s">
        <v>1680</v>
      </c>
      <c r="R503" s="182">
        <v>0</v>
      </c>
      <c r="S503" s="178">
        <v>50</v>
      </c>
      <c r="T503" s="178">
        <v>50</v>
      </c>
      <c r="U503" s="183">
        <v>0</v>
      </c>
      <c r="V503" s="59"/>
      <c r="W503" s="60"/>
      <c r="X503" s="60"/>
      <c r="Y503" s="60"/>
      <c r="Z503" s="60"/>
      <c r="AA503" s="61"/>
      <c r="AB503" s="62" t="s">
        <v>1016</v>
      </c>
      <c r="AC503" s="60"/>
      <c r="AD503" s="60"/>
      <c r="AE503" s="60"/>
      <c r="AF503" s="60"/>
      <c r="AG503" s="60"/>
      <c r="AH503" s="63"/>
      <c r="AI503" s="62" t="s">
        <v>1016</v>
      </c>
      <c r="AJ503" s="60"/>
      <c r="AK503" s="60"/>
      <c r="AL503" s="60"/>
      <c r="AM503" s="60"/>
      <c r="AN503" s="60"/>
      <c r="AO503" s="63"/>
      <c r="AP503" s="62"/>
      <c r="AQ503" s="60"/>
      <c r="AR503" s="60"/>
      <c r="AS503" s="60"/>
      <c r="AT503" s="60"/>
      <c r="AU503" s="60"/>
      <c r="AV503" s="64"/>
      <c r="AW503" s="55">
        <f t="shared" si="41"/>
        <v>0</v>
      </c>
      <c r="AX503" s="55">
        <f t="shared" si="42"/>
        <v>0</v>
      </c>
      <c r="AY503" s="55">
        <f t="shared" si="43"/>
        <v>0</v>
      </c>
      <c r="AZ503" s="55">
        <f t="shared" si="44"/>
        <v>0</v>
      </c>
      <c r="BA503" s="55">
        <f t="shared" si="45"/>
        <v>0</v>
      </c>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4"/>
      <c r="CF503" s="4"/>
      <c r="CG503" s="4"/>
      <c r="CH503" s="4"/>
      <c r="CI503" s="4"/>
      <c r="CJ503" s="4"/>
      <c r="CK503" s="4"/>
      <c r="CL503" s="4"/>
      <c r="CM503" s="4"/>
      <c r="CN503" s="4"/>
      <c r="CO503" s="4"/>
      <c r="CP503" s="4"/>
      <c r="CQ503" s="4"/>
      <c r="CR503" s="4"/>
      <c r="CS503" s="4"/>
      <c r="CT503" s="4"/>
      <c r="CU503" s="4"/>
      <c r="CV503" s="4"/>
      <c r="CW503" s="4"/>
      <c r="CX503" s="4"/>
      <c r="CY503" s="4"/>
      <c r="CZ503" s="4"/>
      <c r="DA503" s="4"/>
      <c r="DB503" s="4"/>
      <c r="DC503" s="4"/>
      <c r="DD503" s="4"/>
      <c r="DE503" s="4"/>
      <c r="DF503" s="4"/>
      <c r="DG503" s="4"/>
      <c r="DH503" s="4"/>
      <c r="DI503" s="4"/>
      <c r="DJ503" s="4"/>
      <c r="DK503" s="4"/>
      <c r="DL503" s="4"/>
      <c r="DM503" s="4"/>
      <c r="DN503" s="4"/>
      <c r="DO503" s="4"/>
      <c r="DP503" s="4"/>
      <c r="DQ503" s="4"/>
      <c r="DR503" s="4"/>
      <c r="DS503" s="4"/>
      <c r="DT503" s="4"/>
      <c r="DU503" s="4"/>
      <c r="DV503" s="4"/>
      <c r="DW503" s="4"/>
      <c r="DX503" s="4"/>
      <c r="DY503" s="4"/>
      <c r="DZ503" s="4"/>
      <c r="EA503" s="4"/>
      <c r="EB503" s="4"/>
      <c r="EC503" s="4"/>
    </row>
    <row r="504" spans="1:133" s="13" customFormat="1" ht="141.75" x14ac:dyDescent="0.25">
      <c r="A504" s="129" t="s">
        <v>999</v>
      </c>
      <c r="B504" s="134" t="s">
        <v>1006</v>
      </c>
      <c r="C504" s="56" t="s">
        <v>1007</v>
      </c>
      <c r="D504" s="56" t="s">
        <v>1008</v>
      </c>
      <c r="E504" s="56" t="s">
        <v>1009</v>
      </c>
      <c r="F504" s="56" t="s">
        <v>1010</v>
      </c>
      <c r="G504" s="110" t="s">
        <v>1011</v>
      </c>
      <c r="H504" s="110" t="s">
        <v>1631</v>
      </c>
      <c r="I504" s="103" t="s">
        <v>1017</v>
      </c>
      <c r="J504" s="103" t="s">
        <v>1687</v>
      </c>
      <c r="K504" s="56">
        <v>0</v>
      </c>
      <c r="L504" s="86">
        <v>39000</v>
      </c>
      <c r="M504" s="98" t="s">
        <v>835</v>
      </c>
      <c r="N504" s="56" t="s">
        <v>998</v>
      </c>
      <c r="O504" s="54" t="s">
        <v>832</v>
      </c>
      <c r="P504" s="58" t="s">
        <v>39</v>
      </c>
      <c r="Q504" s="171" t="s">
        <v>1680</v>
      </c>
      <c r="R504" s="182">
        <v>0</v>
      </c>
      <c r="S504" s="178">
        <v>0</v>
      </c>
      <c r="T504" s="178">
        <v>15000</v>
      </c>
      <c r="U504" s="183">
        <v>24000</v>
      </c>
      <c r="V504" s="59"/>
      <c r="W504" s="60"/>
      <c r="X504" s="60"/>
      <c r="Y504" s="60"/>
      <c r="Z504" s="60"/>
      <c r="AA504" s="61"/>
      <c r="AB504" s="62"/>
      <c r="AC504" s="60"/>
      <c r="AD504" s="60">
        <v>31252033333.333302</v>
      </c>
      <c r="AE504" s="60"/>
      <c r="AF504" s="60">
        <v>535000000</v>
      </c>
      <c r="AG504" s="60"/>
      <c r="AH504" s="63"/>
      <c r="AI504" s="62"/>
      <c r="AJ504" s="60"/>
      <c r="AK504" s="60">
        <v>12047333333.3333</v>
      </c>
      <c r="AL504" s="60"/>
      <c r="AM504" s="60">
        <v>535000000</v>
      </c>
      <c r="AN504" s="60"/>
      <c r="AO504" s="63"/>
      <c r="AP504" s="62"/>
      <c r="AQ504" s="60"/>
      <c r="AR504" s="60">
        <v>15047333333.3333</v>
      </c>
      <c r="AS504" s="60"/>
      <c r="AT504" s="60">
        <v>535000000</v>
      </c>
      <c r="AU504" s="60"/>
      <c r="AV504" s="64"/>
      <c r="AW504" s="55">
        <f t="shared" si="41"/>
        <v>0</v>
      </c>
      <c r="AX504" s="55">
        <f t="shared" si="42"/>
        <v>31787033333.333302</v>
      </c>
      <c r="AY504" s="55">
        <f t="shared" si="43"/>
        <v>12582333333.3333</v>
      </c>
      <c r="AZ504" s="55">
        <f t="shared" si="44"/>
        <v>15582333333.3333</v>
      </c>
      <c r="BA504" s="55">
        <f t="shared" si="45"/>
        <v>59951699999.999901</v>
      </c>
      <c r="BB504" s="32"/>
      <c r="BC504" s="32"/>
      <c r="BD504" s="32"/>
      <c r="BE504" s="32"/>
      <c r="BF504" s="32"/>
      <c r="BG504" s="32"/>
      <c r="BH504" s="32"/>
      <c r="BI504" s="32"/>
      <c r="BJ504" s="32"/>
      <c r="BK504" s="32"/>
      <c r="BL504" s="32"/>
      <c r="BM504" s="32"/>
      <c r="BN504" s="32"/>
      <c r="BO504" s="32"/>
      <c r="BP504" s="32"/>
      <c r="BQ504" s="32"/>
      <c r="BR504" s="32"/>
      <c r="BS504" s="32"/>
      <c r="BT504" s="32"/>
      <c r="BU504" s="32"/>
      <c r="BV504" s="32"/>
      <c r="BW504" s="32"/>
      <c r="BX504" s="32"/>
      <c r="BY504" s="32"/>
      <c r="BZ504" s="32"/>
      <c r="CA504" s="32"/>
      <c r="CB504" s="32"/>
      <c r="CC504" s="32"/>
      <c r="CD504" s="32"/>
      <c r="CE504" s="32"/>
      <c r="CF504" s="32"/>
      <c r="CG504" s="32"/>
      <c r="CH504" s="32"/>
      <c r="CI504" s="32"/>
      <c r="CJ504" s="32"/>
      <c r="CK504" s="32"/>
      <c r="CL504" s="32"/>
      <c r="CM504" s="32"/>
      <c r="CN504" s="32"/>
      <c r="CO504" s="32"/>
      <c r="CP504" s="32"/>
      <c r="CQ504" s="32"/>
      <c r="CR504" s="32"/>
      <c r="CS504" s="32"/>
      <c r="CT504" s="32"/>
      <c r="CU504" s="32"/>
      <c r="CV504" s="32"/>
      <c r="CW504" s="32"/>
      <c r="CX504" s="32"/>
      <c r="CY504" s="32"/>
      <c r="CZ504" s="32"/>
      <c r="DA504" s="32"/>
      <c r="DB504" s="32"/>
      <c r="DC504" s="32"/>
      <c r="DD504" s="32"/>
      <c r="DE504" s="32"/>
      <c r="DF504" s="32"/>
      <c r="DG504" s="32"/>
      <c r="DH504" s="32"/>
      <c r="DI504" s="32"/>
      <c r="DJ504" s="32"/>
      <c r="DK504" s="32"/>
      <c r="DL504" s="32"/>
      <c r="DM504" s="32"/>
      <c r="DN504" s="32"/>
      <c r="DO504" s="32"/>
      <c r="DP504" s="32"/>
      <c r="DQ504" s="32"/>
      <c r="DR504" s="32"/>
      <c r="DS504" s="32"/>
      <c r="DT504" s="32"/>
      <c r="DU504" s="32"/>
      <c r="DV504" s="32"/>
      <c r="DW504" s="32"/>
      <c r="DX504" s="32"/>
      <c r="DY504" s="32"/>
      <c r="DZ504" s="32"/>
      <c r="EA504" s="32"/>
      <c r="EB504" s="32"/>
      <c r="EC504" s="32"/>
    </row>
    <row r="505" spans="1:133" s="13" customFormat="1" ht="141.75" x14ac:dyDescent="0.25">
      <c r="A505" s="129" t="s">
        <v>999</v>
      </c>
      <c r="B505" s="134" t="s">
        <v>1006</v>
      </c>
      <c r="C505" s="56" t="s">
        <v>1007</v>
      </c>
      <c r="D505" s="56" t="s">
        <v>1008</v>
      </c>
      <c r="E505" s="56" t="s">
        <v>1009</v>
      </c>
      <c r="F505" s="56" t="s">
        <v>1010</v>
      </c>
      <c r="G505" s="110" t="s">
        <v>1011</v>
      </c>
      <c r="H505" s="110" t="s">
        <v>1632</v>
      </c>
      <c r="I505" s="103" t="s">
        <v>1018</v>
      </c>
      <c r="J505" s="103" t="s">
        <v>1682</v>
      </c>
      <c r="K505" s="178">
        <v>0</v>
      </c>
      <c r="L505" s="179">
        <v>100</v>
      </c>
      <c r="M505" s="98" t="s">
        <v>835</v>
      </c>
      <c r="N505" s="56" t="s">
        <v>164</v>
      </c>
      <c r="O505" s="54" t="s">
        <v>832</v>
      </c>
      <c r="P505" s="58" t="s">
        <v>39</v>
      </c>
      <c r="Q505" s="171" t="s">
        <v>1680</v>
      </c>
      <c r="R505" s="182">
        <v>0</v>
      </c>
      <c r="S505" s="178">
        <v>0</v>
      </c>
      <c r="T505" s="178">
        <v>20</v>
      </c>
      <c r="U505" s="183">
        <v>80</v>
      </c>
      <c r="V505" s="59"/>
      <c r="W505" s="60"/>
      <c r="X505" s="60"/>
      <c r="Y505" s="60"/>
      <c r="Z505" s="60"/>
      <c r="AA505" s="61"/>
      <c r="AB505" s="62"/>
      <c r="AC505" s="60"/>
      <c r="AD505" s="60">
        <v>33252033333.333332</v>
      </c>
      <c r="AE505" s="60"/>
      <c r="AF505" s="60">
        <v>535000000</v>
      </c>
      <c r="AG505" s="60"/>
      <c r="AH505" s="63"/>
      <c r="AI505" s="62"/>
      <c r="AJ505" s="60"/>
      <c r="AK505" s="60">
        <v>12047333333.3333</v>
      </c>
      <c r="AL505" s="60"/>
      <c r="AM505" s="60">
        <v>535000000</v>
      </c>
      <c r="AN505" s="60"/>
      <c r="AO505" s="63"/>
      <c r="AP505" s="62"/>
      <c r="AQ505" s="60"/>
      <c r="AR505" s="60">
        <v>15047333333.3333</v>
      </c>
      <c r="AS505" s="60"/>
      <c r="AT505" s="60">
        <v>535000000</v>
      </c>
      <c r="AU505" s="60"/>
      <c r="AV505" s="64"/>
      <c r="AW505" s="55">
        <f t="shared" si="41"/>
        <v>0</v>
      </c>
      <c r="AX505" s="55">
        <f t="shared" si="42"/>
        <v>33787033333.333332</v>
      </c>
      <c r="AY505" s="55">
        <f t="shared" si="43"/>
        <v>12582333333.3333</v>
      </c>
      <c r="AZ505" s="55">
        <f t="shared" si="44"/>
        <v>15582333333.3333</v>
      </c>
      <c r="BA505" s="55">
        <f t="shared" si="45"/>
        <v>61951699999.999931</v>
      </c>
      <c r="BB505" s="32"/>
      <c r="BC505" s="32"/>
      <c r="BD505" s="32"/>
      <c r="BE505" s="32"/>
      <c r="BF505" s="32"/>
      <c r="BG505" s="32"/>
      <c r="BH505" s="32"/>
      <c r="BI505" s="32"/>
      <c r="BJ505" s="32"/>
      <c r="BK505" s="32"/>
      <c r="BL505" s="32"/>
      <c r="BM505" s="32"/>
      <c r="BN505" s="32"/>
      <c r="BO505" s="32"/>
      <c r="BP505" s="32"/>
      <c r="BQ505" s="32"/>
      <c r="BR505" s="32"/>
      <c r="BS505" s="32"/>
      <c r="BT505" s="32"/>
      <c r="BU505" s="32"/>
      <c r="BV505" s="32"/>
      <c r="BW505" s="32"/>
      <c r="BX505" s="32"/>
      <c r="BY505" s="32"/>
      <c r="BZ505" s="32"/>
      <c r="CA505" s="32"/>
      <c r="CB505" s="32"/>
      <c r="CC505" s="32"/>
      <c r="CD505" s="32"/>
      <c r="CE505" s="32"/>
      <c r="CF505" s="32"/>
      <c r="CG505" s="32"/>
      <c r="CH505" s="32"/>
      <c r="CI505" s="32"/>
      <c r="CJ505" s="32"/>
      <c r="CK505" s="32"/>
      <c r="CL505" s="32"/>
      <c r="CM505" s="32"/>
      <c r="CN505" s="32"/>
      <c r="CO505" s="32"/>
      <c r="CP505" s="32"/>
      <c r="CQ505" s="32"/>
      <c r="CR505" s="32"/>
      <c r="CS505" s="32"/>
      <c r="CT505" s="32"/>
      <c r="CU505" s="32"/>
      <c r="CV505" s="32"/>
      <c r="CW505" s="32"/>
      <c r="CX505" s="32"/>
      <c r="CY505" s="32"/>
      <c r="CZ505" s="32"/>
      <c r="DA505" s="32"/>
      <c r="DB505" s="32"/>
      <c r="DC505" s="32"/>
      <c r="DD505" s="32"/>
      <c r="DE505" s="32"/>
      <c r="DF505" s="32"/>
      <c r="DG505" s="32"/>
      <c r="DH505" s="32"/>
      <c r="DI505" s="32"/>
      <c r="DJ505" s="32"/>
      <c r="DK505" s="32"/>
      <c r="DL505" s="32"/>
      <c r="DM505" s="32"/>
      <c r="DN505" s="32"/>
      <c r="DO505" s="32"/>
      <c r="DP505" s="32"/>
      <c r="DQ505" s="32"/>
      <c r="DR505" s="32"/>
      <c r="DS505" s="32"/>
      <c r="DT505" s="32"/>
      <c r="DU505" s="32"/>
      <c r="DV505" s="32"/>
      <c r="DW505" s="32"/>
      <c r="DX505" s="32"/>
      <c r="DY505" s="32"/>
      <c r="DZ505" s="32"/>
      <c r="EA505" s="32"/>
      <c r="EB505" s="32"/>
      <c r="EC505" s="32"/>
    </row>
    <row r="506" spans="1:133" s="13" customFormat="1" ht="141.75" x14ac:dyDescent="0.25">
      <c r="A506" s="129" t="s">
        <v>999</v>
      </c>
      <c r="B506" s="134" t="s">
        <v>1006</v>
      </c>
      <c r="C506" s="56" t="s">
        <v>1007</v>
      </c>
      <c r="D506" s="56" t="s">
        <v>1008</v>
      </c>
      <c r="E506" s="56" t="s">
        <v>1009</v>
      </c>
      <c r="F506" s="56" t="s">
        <v>1010</v>
      </c>
      <c r="G506" s="110" t="s">
        <v>1011</v>
      </c>
      <c r="H506" s="110" t="s">
        <v>1633</v>
      </c>
      <c r="I506" s="103" t="s">
        <v>1019</v>
      </c>
      <c r="J506" s="103" t="s">
        <v>1682</v>
      </c>
      <c r="K506" s="178">
        <v>0</v>
      </c>
      <c r="L506" s="179">
        <v>100</v>
      </c>
      <c r="M506" s="98" t="s">
        <v>1013</v>
      </c>
      <c r="N506" s="56" t="s">
        <v>998</v>
      </c>
      <c r="O506" s="54" t="s">
        <v>1014</v>
      </c>
      <c r="P506" s="58" t="s">
        <v>39</v>
      </c>
      <c r="Q506" s="171" t="s">
        <v>1680</v>
      </c>
      <c r="R506" s="182">
        <v>0</v>
      </c>
      <c r="S506" s="178">
        <v>0</v>
      </c>
      <c r="T506" s="178">
        <v>50</v>
      </c>
      <c r="U506" s="183">
        <v>50</v>
      </c>
      <c r="V506" s="59"/>
      <c r="W506" s="60"/>
      <c r="X506" s="60"/>
      <c r="Y506" s="60"/>
      <c r="Z506" s="60"/>
      <c r="AA506" s="61"/>
      <c r="AB506" s="62"/>
      <c r="AC506" s="60"/>
      <c r="AD506" s="60">
        <v>33252033333.333332</v>
      </c>
      <c r="AE506" s="60"/>
      <c r="AF506" s="60">
        <v>535000000</v>
      </c>
      <c r="AG506" s="60"/>
      <c r="AH506" s="63"/>
      <c r="AI506" s="62"/>
      <c r="AJ506" s="60"/>
      <c r="AK506" s="60">
        <v>12047333333.3333</v>
      </c>
      <c r="AL506" s="60"/>
      <c r="AM506" s="60">
        <v>535000000</v>
      </c>
      <c r="AN506" s="60"/>
      <c r="AO506" s="63"/>
      <c r="AP506" s="62"/>
      <c r="AQ506" s="60"/>
      <c r="AR506" s="60">
        <v>15047333333.3333</v>
      </c>
      <c r="AS506" s="60"/>
      <c r="AT506" s="60">
        <v>535000000</v>
      </c>
      <c r="AU506" s="60"/>
      <c r="AV506" s="64"/>
      <c r="AW506" s="55">
        <f t="shared" si="41"/>
        <v>0</v>
      </c>
      <c r="AX506" s="55">
        <f t="shared" si="42"/>
        <v>33787033333.333332</v>
      </c>
      <c r="AY506" s="55">
        <f t="shared" si="43"/>
        <v>12582333333.3333</v>
      </c>
      <c r="AZ506" s="55">
        <f t="shared" si="44"/>
        <v>15582333333.3333</v>
      </c>
      <c r="BA506" s="55">
        <f t="shared" si="45"/>
        <v>61951699999.999931</v>
      </c>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c r="CP506" s="4"/>
      <c r="CQ506" s="4"/>
      <c r="CR506" s="4"/>
      <c r="CS506" s="4"/>
      <c r="CT506" s="4"/>
      <c r="CU506" s="4"/>
      <c r="CV506" s="4"/>
      <c r="CW506" s="4"/>
      <c r="CX506" s="4"/>
      <c r="CY506" s="4"/>
      <c r="CZ506" s="4"/>
      <c r="DA506" s="4"/>
      <c r="DB506" s="4"/>
      <c r="DC506" s="4"/>
      <c r="DD506" s="4"/>
      <c r="DE506" s="4"/>
      <c r="DF506" s="4"/>
      <c r="DG506" s="4"/>
      <c r="DH506" s="4"/>
      <c r="DI506" s="4"/>
      <c r="DJ506" s="4"/>
      <c r="DK506" s="4"/>
      <c r="DL506" s="4"/>
      <c r="DM506" s="4"/>
      <c r="DN506" s="4"/>
      <c r="DO506" s="4"/>
      <c r="DP506" s="4"/>
      <c r="DQ506" s="4"/>
      <c r="DR506" s="4"/>
      <c r="DS506" s="4"/>
      <c r="DT506" s="4"/>
      <c r="DU506" s="4"/>
      <c r="DV506" s="4"/>
      <c r="DW506" s="4"/>
      <c r="DX506" s="4"/>
      <c r="DY506" s="4"/>
      <c r="DZ506" s="4"/>
      <c r="EA506" s="4"/>
      <c r="EB506" s="4"/>
      <c r="EC506" s="4"/>
    </row>
    <row r="507" spans="1:133" s="13" customFormat="1" ht="141.75" x14ac:dyDescent="0.25">
      <c r="A507" s="129" t="s">
        <v>999</v>
      </c>
      <c r="B507" s="134" t="s">
        <v>1006</v>
      </c>
      <c r="C507" s="56" t="s">
        <v>1007</v>
      </c>
      <c r="D507" s="56" t="s">
        <v>1008</v>
      </c>
      <c r="E507" s="56" t="s">
        <v>1009</v>
      </c>
      <c r="F507" s="56" t="s">
        <v>1010</v>
      </c>
      <c r="G507" s="103" t="s">
        <v>1021</v>
      </c>
      <c r="H507" s="103" t="s">
        <v>1634</v>
      </c>
      <c r="I507" s="103" t="s">
        <v>1022</v>
      </c>
      <c r="J507" s="103" t="s">
        <v>1687</v>
      </c>
      <c r="K507" s="56">
        <v>160000</v>
      </c>
      <c r="L507" s="86">
        <v>280000</v>
      </c>
      <c r="M507" s="98" t="s">
        <v>838</v>
      </c>
      <c r="N507" s="56" t="s">
        <v>1024</v>
      </c>
      <c r="O507" s="54" t="s">
        <v>1014</v>
      </c>
      <c r="P507" s="58" t="s">
        <v>39</v>
      </c>
      <c r="Q507" s="171" t="s">
        <v>1680</v>
      </c>
      <c r="R507" s="182">
        <v>0</v>
      </c>
      <c r="S507" s="178">
        <v>50000</v>
      </c>
      <c r="T507" s="178">
        <v>130000</v>
      </c>
      <c r="U507" s="183">
        <v>100000</v>
      </c>
      <c r="V507" s="59"/>
      <c r="W507" s="60"/>
      <c r="X507" s="60"/>
      <c r="Y507" s="60"/>
      <c r="Z507" s="60"/>
      <c r="AA507" s="61"/>
      <c r="AB507" s="62">
        <v>20000000000</v>
      </c>
      <c r="AC507" s="60"/>
      <c r="AD507" s="60"/>
      <c r="AE507" s="60"/>
      <c r="AF507" s="60"/>
      <c r="AG507" s="60"/>
      <c r="AH507" s="63"/>
      <c r="AI507" s="62">
        <v>7000000000</v>
      </c>
      <c r="AJ507" s="60"/>
      <c r="AK507" s="60"/>
      <c r="AL507" s="60"/>
      <c r="AM507" s="60"/>
      <c r="AN507" s="60"/>
      <c r="AO507" s="63"/>
      <c r="AP507" s="62">
        <v>9000000000</v>
      </c>
      <c r="AQ507" s="60"/>
      <c r="AR507" s="60"/>
      <c r="AS507" s="60"/>
      <c r="AT507" s="60"/>
      <c r="AU507" s="60"/>
      <c r="AV507" s="64"/>
      <c r="AW507" s="55">
        <f t="shared" si="41"/>
        <v>0</v>
      </c>
      <c r="AX507" s="55">
        <f t="shared" si="42"/>
        <v>20000000000</v>
      </c>
      <c r="AY507" s="55">
        <f t="shared" si="43"/>
        <v>7000000000</v>
      </c>
      <c r="AZ507" s="55">
        <f t="shared" si="44"/>
        <v>9000000000</v>
      </c>
      <c r="BA507" s="55">
        <f t="shared" si="45"/>
        <v>36000000000</v>
      </c>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4"/>
      <c r="CH507" s="4"/>
      <c r="CI507" s="4"/>
      <c r="CJ507" s="4"/>
      <c r="CK507" s="4"/>
      <c r="CL507" s="4"/>
      <c r="CM507" s="4"/>
      <c r="CN507" s="4"/>
      <c r="CO507" s="4"/>
      <c r="CP507" s="4"/>
      <c r="CQ507" s="4"/>
      <c r="CR507" s="4"/>
      <c r="CS507" s="4"/>
      <c r="CT507" s="4"/>
      <c r="CU507" s="4"/>
      <c r="CV507" s="4"/>
      <c r="CW507" s="4"/>
      <c r="CX507" s="4"/>
      <c r="CY507" s="4"/>
      <c r="CZ507" s="4"/>
      <c r="DA507" s="4"/>
      <c r="DB507" s="4"/>
      <c r="DC507" s="4"/>
      <c r="DD507" s="4"/>
      <c r="DE507" s="4"/>
      <c r="DF507" s="4"/>
      <c r="DG507" s="4"/>
      <c r="DH507" s="4"/>
      <c r="DI507" s="4"/>
      <c r="DJ507" s="4"/>
      <c r="DK507" s="4"/>
      <c r="DL507" s="4"/>
      <c r="DM507" s="4"/>
      <c r="DN507" s="4"/>
      <c r="DO507" s="4"/>
      <c r="DP507" s="4"/>
      <c r="DQ507" s="4"/>
      <c r="DR507" s="4"/>
      <c r="DS507" s="4"/>
      <c r="DT507" s="4"/>
      <c r="DU507" s="4"/>
      <c r="DV507" s="4"/>
      <c r="DW507" s="4"/>
      <c r="DX507" s="4"/>
      <c r="DY507" s="4"/>
      <c r="DZ507" s="4"/>
      <c r="EA507" s="4"/>
      <c r="EB507" s="4"/>
      <c r="EC507" s="4"/>
    </row>
    <row r="508" spans="1:133" s="13" customFormat="1" ht="141.75" x14ac:dyDescent="0.25">
      <c r="A508" s="129" t="s">
        <v>999</v>
      </c>
      <c r="B508" s="134" t="s">
        <v>1006</v>
      </c>
      <c r="C508" s="56" t="s">
        <v>1007</v>
      </c>
      <c r="D508" s="56" t="s">
        <v>1008</v>
      </c>
      <c r="E508" s="56" t="s">
        <v>1009</v>
      </c>
      <c r="F508" s="56" t="s">
        <v>1010</v>
      </c>
      <c r="G508" s="103" t="s">
        <v>1025</v>
      </c>
      <c r="H508" s="103" t="s">
        <v>1635</v>
      </c>
      <c r="I508" s="103" t="s">
        <v>1026</v>
      </c>
      <c r="J508" s="103" t="s">
        <v>1682</v>
      </c>
      <c r="K508" s="178">
        <v>0</v>
      </c>
      <c r="L508" s="179">
        <v>100</v>
      </c>
      <c r="M508" s="98" t="s">
        <v>1013</v>
      </c>
      <c r="N508" s="56" t="s">
        <v>164</v>
      </c>
      <c r="O508" s="54" t="s">
        <v>1014</v>
      </c>
      <c r="P508" s="58" t="s">
        <v>39</v>
      </c>
      <c r="Q508" s="171" t="s">
        <v>1680</v>
      </c>
      <c r="R508" s="182">
        <v>0</v>
      </c>
      <c r="S508" s="178">
        <v>30</v>
      </c>
      <c r="T508" s="178">
        <v>30</v>
      </c>
      <c r="U508" s="183">
        <v>40</v>
      </c>
      <c r="V508" s="59"/>
      <c r="W508" s="60"/>
      <c r="X508" s="60"/>
      <c r="Y508" s="60"/>
      <c r="Z508" s="60"/>
      <c r="AA508" s="61"/>
      <c r="AB508" s="62">
        <v>250000000</v>
      </c>
      <c r="AC508" s="60"/>
      <c r="AD508" s="60"/>
      <c r="AE508" s="60"/>
      <c r="AF508" s="60"/>
      <c r="AG508" s="60"/>
      <c r="AH508" s="63"/>
      <c r="AI508" s="62">
        <v>250000000</v>
      </c>
      <c r="AJ508" s="60"/>
      <c r="AK508" s="60"/>
      <c r="AL508" s="60"/>
      <c r="AM508" s="60"/>
      <c r="AN508" s="60"/>
      <c r="AO508" s="63"/>
      <c r="AP508" s="62">
        <v>400000000</v>
      </c>
      <c r="AQ508" s="60"/>
      <c r="AR508" s="60"/>
      <c r="AS508" s="60"/>
      <c r="AT508" s="60"/>
      <c r="AU508" s="60"/>
      <c r="AV508" s="64"/>
      <c r="AW508" s="55">
        <f t="shared" si="41"/>
        <v>0</v>
      </c>
      <c r="AX508" s="55">
        <f t="shared" si="42"/>
        <v>250000000</v>
      </c>
      <c r="AY508" s="55">
        <f t="shared" si="43"/>
        <v>250000000</v>
      </c>
      <c r="AZ508" s="55">
        <f t="shared" si="44"/>
        <v>400000000</v>
      </c>
      <c r="BA508" s="55">
        <f t="shared" si="45"/>
        <v>900000000</v>
      </c>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c r="CP508" s="4"/>
      <c r="CQ508" s="4"/>
      <c r="CR508" s="4"/>
      <c r="CS508" s="4"/>
      <c r="CT508" s="4"/>
      <c r="CU508" s="4"/>
      <c r="CV508" s="4"/>
      <c r="CW508" s="4"/>
      <c r="CX508" s="4"/>
      <c r="CY508" s="4"/>
      <c r="CZ508" s="4"/>
      <c r="DA508" s="4"/>
      <c r="DB508" s="4"/>
      <c r="DC508" s="4"/>
      <c r="DD508" s="4"/>
      <c r="DE508" s="4"/>
      <c r="DF508" s="4"/>
      <c r="DG508" s="4"/>
      <c r="DH508" s="4"/>
      <c r="DI508" s="4"/>
      <c r="DJ508" s="4"/>
      <c r="DK508" s="4"/>
      <c r="DL508" s="4"/>
      <c r="DM508" s="4"/>
      <c r="DN508" s="4"/>
      <c r="DO508" s="4"/>
      <c r="DP508" s="4"/>
      <c r="DQ508" s="4"/>
      <c r="DR508" s="4"/>
      <c r="DS508" s="4"/>
      <c r="DT508" s="4"/>
      <c r="DU508" s="4"/>
      <c r="DV508" s="4"/>
      <c r="DW508" s="4"/>
      <c r="DX508" s="4"/>
      <c r="DY508" s="4"/>
      <c r="DZ508" s="4"/>
      <c r="EA508" s="4"/>
      <c r="EB508" s="4"/>
      <c r="EC508" s="4"/>
    </row>
    <row r="509" spans="1:133" s="13" customFormat="1" ht="141.75" x14ac:dyDescent="0.25">
      <c r="A509" s="129" t="s">
        <v>999</v>
      </c>
      <c r="B509" s="134" t="s">
        <v>1006</v>
      </c>
      <c r="C509" s="56" t="s">
        <v>1007</v>
      </c>
      <c r="D509" s="56" t="s">
        <v>1008</v>
      </c>
      <c r="E509" s="56" t="s">
        <v>1009</v>
      </c>
      <c r="F509" s="56" t="s">
        <v>1010</v>
      </c>
      <c r="G509" s="103" t="s">
        <v>1027</v>
      </c>
      <c r="H509" s="103" t="s">
        <v>1636</v>
      </c>
      <c r="I509" s="103" t="s">
        <v>1028</v>
      </c>
      <c r="J509" s="103" t="s">
        <v>1683</v>
      </c>
      <c r="K509" s="65">
        <v>101285</v>
      </c>
      <c r="L509" s="86">
        <v>150000</v>
      </c>
      <c r="M509" s="98" t="s">
        <v>838</v>
      </c>
      <c r="N509" s="56" t="s">
        <v>164</v>
      </c>
      <c r="O509" s="54" t="s">
        <v>1014</v>
      </c>
      <c r="P509" s="58" t="s">
        <v>39</v>
      </c>
      <c r="Q509" s="171" t="s">
        <v>1680</v>
      </c>
      <c r="R509" s="182">
        <v>10000</v>
      </c>
      <c r="S509" s="178">
        <v>40000</v>
      </c>
      <c r="T509" s="178">
        <v>50000</v>
      </c>
      <c r="U509" s="183">
        <v>50000</v>
      </c>
      <c r="V509" s="59">
        <v>41300000000</v>
      </c>
      <c r="W509" s="60"/>
      <c r="X509" s="60"/>
      <c r="Y509" s="60"/>
      <c r="Z509" s="60"/>
      <c r="AA509" s="61"/>
      <c r="AB509" s="62">
        <v>51300000000</v>
      </c>
      <c r="AC509" s="60"/>
      <c r="AD509" s="60"/>
      <c r="AE509" s="60"/>
      <c r="AF509" s="60"/>
      <c r="AG509" s="60"/>
      <c r="AH509" s="63"/>
      <c r="AI509" s="62">
        <v>50700000000</v>
      </c>
      <c r="AJ509" s="60"/>
      <c r="AK509" s="60"/>
      <c r="AL509" s="60"/>
      <c r="AM509" s="60"/>
      <c r="AN509" s="60"/>
      <c r="AO509" s="63"/>
      <c r="AP509" s="62">
        <v>60700000000</v>
      </c>
      <c r="AQ509" s="60"/>
      <c r="AR509" s="60"/>
      <c r="AS509" s="60"/>
      <c r="AT509" s="60"/>
      <c r="AU509" s="60"/>
      <c r="AV509" s="64"/>
      <c r="AW509" s="55">
        <f t="shared" si="41"/>
        <v>41300000000</v>
      </c>
      <c r="AX509" s="55">
        <f t="shared" si="42"/>
        <v>51300000000</v>
      </c>
      <c r="AY509" s="55">
        <f t="shared" si="43"/>
        <v>50700000000</v>
      </c>
      <c r="AZ509" s="55">
        <f t="shared" si="44"/>
        <v>60700000000</v>
      </c>
      <c r="BA509" s="55">
        <f t="shared" si="45"/>
        <v>204000000000</v>
      </c>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4"/>
      <c r="CH509" s="4"/>
      <c r="CI509" s="4"/>
      <c r="CJ509" s="4"/>
      <c r="CK509" s="4"/>
      <c r="CL509" s="4"/>
      <c r="CM509" s="4"/>
      <c r="CN509" s="4"/>
      <c r="CO509" s="4"/>
      <c r="CP509" s="4"/>
      <c r="CQ509" s="4"/>
      <c r="CR509" s="4"/>
      <c r="CS509" s="4"/>
      <c r="CT509" s="4"/>
      <c r="CU509" s="4"/>
      <c r="CV509" s="4"/>
      <c r="CW509" s="4"/>
      <c r="CX509" s="4"/>
      <c r="CY509" s="4"/>
      <c r="CZ509" s="4"/>
      <c r="DA509" s="4"/>
      <c r="DB509" s="4"/>
      <c r="DC509" s="4"/>
      <c r="DD509" s="4"/>
      <c r="DE509" s="4"/>
      <c r="DF509" s="4"/>
      <c r="DG509" s="4"/>
      <c r="DH509" s="4"/>
      <c r="DI509" s="4"/>
      <c r="DJ509" s="4"/>
      <c r="DK509" s="4"/>
      <c r="DL509" s="4"/>
      <c r="DM509" s="4"/>
      <c r="DN509" s="4"/>
      <c r="DO509" s="4"/>
      <c r="DP509" s="4"/>
      <c r="DQ509" s="4"/>
      <c r="DR509" s="4"/>
      <c r="DS509" s="4"/>
      <c r="DT509" s="4"/>
      <c r="DU509" s="4"/>
      <c r="DV509" s="4"/>
      <c r="DW509" s="4"/>
      <c r="DX509" s="4"/>
      <c r="DY509" s="4"/>
      <c r="DZ509" s="4"/>
      <c r="EA509" s="4"/>
      <c r="EB509" s="4"/>
      <c r="EC509" s="4"/>
    </row>
    <row r="510" spans="1:133" s="13" customFormat="1" ht="63" x14ac:dyDescent="0.25">
      <c r="A510" s="129" t="s">
        <v>999</v>
      </c>
      <c r="B510" s="134" t="s">
        <v>1006</v>
      </c>
      <c r="C510" s="56" t="s">
        <v>1029</v>
      </c>
      <c r="D510" s="56" t="s">
        <v>1030</v>
      </c>
      <c r="E510" s="56">
        <v>0.3</v>
      </c>
      <c r="F510" s="56">
        <v>0.45</v>
      </c>
      <c r="G510" s="103" t="s">
        <v>1031</v>
      </c>
      <c r="H510" s="103" t="s">
        <v>1637</v>
      </c>
      <c r="I510" s="103" t="s">
        <v>1032</v>
      </c>
      <c r="J510" s="103" t="s">
        <v>1691</v>
      </c>
      <c r="K510" s="56" t="s">
        <v>90</v>
      </c>
      <c r="L510" s="86">
        <v>2.4</v>
      </c>
      <c r="M510" s="98" t="s">
        <v>835</v>
      </c>
      <c r="N510" s="56" t="s">
        <v>164</v>
      </c>
      <c r="O510" s="54" t="s">
        <v>1014</v>
      </c>
      <c r="P510" s="58" t="s">
        <v>39</v>
      </c>
      <c r="Q510" s="171" t="s">
        <v>1680</v>
      </c>
      <c r="R510" s="182">
        <v>0</v>
      </c>
      <c r="S510" s="178">
        <v>0</v>
      </c>
      <c r="T510" s="178">
        <v>1</v>
      </c>
      <c r="U510" s="183">
        <v>1.4</v>
      </c>
      <c r="V510" s="59"/>
      <c r="W510" s="60"/>
      <c r="X510" s="60"/>
      <c r="Y510" s="60"/>
      <c r="Z510" s="60"/>
      <c r="AA510" s="61"/>
      <c r="AB510" s="62"/>
      <c r="AC510" s="60"/>
      <c r="AD510" s="60">
        <v>106175000000</v>
      </c>
      <c r="AE510" s="60"/>
      <c r="AF510" s="60">
        <v>16853000000</v>
      </c>
      <c r="AG510" s="60"/>
      <c r="AH510" s="63"/>
      <c r="AI510" s="62"/>
      <c r="AJ510" s="60"/>
      <c r="AK510" s="60">
        <v>5885000000</v>
      </c>
      <c r="AL510" s="60"/>
      <c r="AM510" s="60">
        <v>16853000000</v>
      </c>
      <c r="AN510" s="60"/>
      <c r="AO510" s="63"/>
      <c r="AP510" s="62"/>
      <c r="AQ510" s="60"/>
      <c r="AR510" s="60">
        <v>61525000000</v>
      </c>
      <c r="AS510" s="60"/>
      <c r="AT510" s="60"/>
      <c r="AU510" s="60"/>
      <c r="AV510" s="64"/>
      <c r="AW510" s="55">
        <f t="shared" si="41"/>
        <v>0</v>
      </c>
      <c r="AX510" s="55">
        <f t="shared" si="42"/>
        <v>123028000000</v>
      </c>
      <c r="AY510" s="55">
        <f t="shared" si="43"/>
        <v>22738000000</v>
      </c>
      <c r="AZ510" s="55">
        <f t="shared" si="44"/>
        <v>61525000000</v>
      </c>
      <c r="BA510" s="55">
        <f t="shared" si="45"/>
        <v>207291000000</v>
      </c>
      <c r="BB510" s="32"/>
      <c r="BC510" s="32"/>
      <c r="BD510" s="32"/>
      <c r="BE510" s="32"/>
      <c r="BF510" s="32"/>
      <c r="BG510" s="32"/>
      <c r="BH510" s="32"/>
      <c r="BI510" s="32"/>
      <c r="BJ510" s="32"/>
      <c r="BK510" s="32"/>
      <c r="BL510" s="32"/>
      <c r="BM510" s="32"/>
      <c r="BN510" s="32"/>
      <c r="BO510" s="32"/>
      <c r="BP510" s="32"/>
      <c r="BQ510" s="32"/>
      <c r="BR510" s="32"/>
      <c r="BS510" s="32"/>
      <c r="BT510" s="32"/>
      <c r="BU510" s="32"/>
      <c r="BV510" s="32"/>
      <c r="BW510" s="32"/>
      <c r="BX510" s="32"/>
      <c r="BY510" s="32"/>
      <c r="BZ510" s="32"/>
      <c r="CA510" s="32"/>
      <c r="CB510" s="32"/>
      <c r="CC510" s="32"/>
      <c r="CD510" s="32"/>
      <c r="CE510" s="32"/>
      <c r="CF510" s="32"/>
      <c r="CG510" s="32"/>
      <c r="CH510" s="32"/>
      <c r="CI510" s="32"/>
      <c r="CJ510" s="32"/>
      <c r="CK510" s="32"/>
      <c r="CL510" s="32"/>
      <c r="CM510" s="32"/>
      <c r="CN510" s="32"/>
      <c r="CO510" s="32"/>
      <c r="CP510" s="32"/>
      <c r="CQ510" s="32"/>
      <c r="CR510" s="32"/>
      <c r="CS510" s="32"/>
      <c r="CT510" s="32"/>
      <c r="CU510" s="32"/>
      <c r="CV510" s="32"/>
      <c r="CW510" s="32"/>
      <c r="CX510" s="32"/>
      <c r="CY510" s="32"/>
      <c r="CZ510" s="32"/>
      <c r="DA510" s="32"/>
      <c r="DB510" s="32"/>
      <c r="DC510" s="32"/>
      <c r="DD510" s="32"/>
      <c r="DE510" s="32"/>
      <c r="DF510" s="32"/>
      <c r="DG510" s="32"/>
      <c r="DH510" s="32"/>
      <c r="DI510" s="32"/>
      <c r="DJ510" s="32"/>
      <c r="DK510" s="32"/>
      <c r="DL510" s="32"/>
      <c r="DM510" s="32"/>
      <c r="DN510" s="32"/>
      <c r="DO510" s="32"/>
      <c r="DP510" s="32"/>
      <c r="DQ510" s="32"/>
      <c r="DR510" s="32"/>
      <c r="DS510" s="32"/>
      <c r="DT510" s="32"/>
      <c r="DU510" s="32"/>
      <c r="DV510" s="32"/>
      <c r="DW510" s="32"/>
      <c r="DX510" s="32"/>
      <c r="DY510" s="32"/>
      <c r="DZ510" s="32"/>
      <c r="EA510" s="32"/>
      <c r="EB510" s="32"/>
      <c r="EC510" s="32"/>
    </row>
    <row r="511" spans="1:133" s="13" customFormat="1" ht="63" x14ac:dyDescent="0.25">
      <c r="A511" s="129" t="s">
        <v>999</v>
      </c>
      <c r="B511" s="134" t="s">
        <v>1006</v>
      </c>
      <c r="C511" s="56" t="s">
        <v>1029</v>
      </c>
      <c r="D511" s="56" t="s">
        <v>1030</v>
      </c>
      <c r="E511" s="56">
        <v>0.3</v>
      </c>
      <c r="F511" s="56">
        <v>0.45</v>
      </c>
      <c r="G511" s="110" t="s">
        <v>1033</v>
      </c>
      <c r="H511" s="110" t="s">
        <v>1638</v>
      </c>
      <c r="I511" s="103" t="s">
        <v>1034</v>
      </c>
      <c r="J511" s="103" t="s">
        <v>1683</v>
      </c>
      <c r="K511" s="56">
        <v>0</v>
      </c>
      <c r="L511" s="86">
        <v>3</v>
      </c>
      <c r="M511" s="98" t="s">
        <v>1013</v>
      </c>
      <c r="N511" s="56" t="s">
        <v>164</v>
      </c>
      <c r="O511" s="54" t="s">
        <v>1014</v>
      </c>
      <c r="P511" s="58" t="s">
        <v>39</v>
      </c>
      <c r="Q511" s="171" t="s">
        <v>1680</v>
      </c>
      <c r="R511" s="182">
        <v>0</v>
      </c>
      <c r="S511" s="178">
        <v>1</v>
      </c>
      <c r="T511" s="178">
        <v>1</v>
      </c>
      <c r="U511" s="183">
        <v>1</v>
      </c>
      <c r="V511" s="59"/>
      <c r="W511" s="60"/>
      <c r="X511" s="60"/>
      <c r="Y511" s="60"/>
      <c r="Z511" s="60"/>
      <c r="AA511" s="61"/>
      <c r="AB511" s="62">
        <v>266700000</v>
      </c>
      <c r="AC511" s="60"/>
      <c r="AD511" s="60"/>
      <c r="AE511" s="60"/>
      <c r="AF511" s="60"/>
      <c r="AG511" s="60"/>
      <c r="AH511" s="63"/>
      <c r="AI511" s="62">
        <v>266300000</v>
      </c>
      <c r="AJ511" s="60"/>
      <c r="AK511" s="60"/>
      <c r="AL511" s="60"/>
      <c r="AM511" s="60"/>
      <c r="AN511" s="60"/>
      <c r="AO511" s="63"/>
      <c r="AP511" s="62">
        <v>267000000</v>
      </c>
      <c r="AQ511" s="60"/>
      <c r="AR511" s="60"/>
      <c r="AS511" s="60"/>
      <c r="AT511" s="60"/>
      <c r="AU511" s="60"/>
      <c r="AV511" s="64"/>
      <c r="AW511" s="55">
        <f t="shared" si="41"/>
        <v>0</v>
      </c>
      <c r="AX511" s="55">
        <f t="shared" si="42"/>
        <v>266700000</v>
      </c>
      <c r="AY511" s="55">
        <f t="shared" si="43"/>
        <v>266300000</v>
      </c>
      <c r="AZ511" s="55">
        <f t="shared" si="44"/>
        <v>267000000</v>
      </c>
      <c r="BA511" s="55">
        <f t="shared" si="45"/>
        <v>800000000</v>
      </c>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4"/>
      <c r="CH511" s="4"/>
      <c r="CI511" s="4"/>
      <c r="CJ511" s="4"/>
      <c r="CK511" s="4"/>
      <c r="CL511" s="4"/>
      <c r="CM511" s="4"/>
      <c r="CN511" s="4"/>
      <c r="CO511" s="4"/>
      <c r="CP511" s="4"/>
      <c r="CQ511" s="4"/>
      <c r="CR511" s="4"/>
      <c r="CS511" s="4"/>
      <c r="CT511" s="4"/>
      <c r="CU511" s="4"/>
      <c r="CV511" s="4"/>
      <c r="CW511" s="4"/>
      <c r="CX511" s="4"/>
      <c r="CY511" s="4"/>
      <c r="CZ511" s="4"/>
      <c r="DA511" s="4"/>
      <c r="DB511" s="4"/>
      <c r="DC511" s="4"/>
      <c r="DD511" s="4"/>
      <c r="DE511" s="4"/>
      <c r="DF511" s="4"/>
      <c r="DG511" s="4"/>
      <c r="DH511" s="4"/>
      <c r="DI511" s="4"/>
      <c r="DJ511" s="4"/>
      <c r="DK511" s="4"/>
      <c r="DL511" s="4"/>
      <c r="DM511" s="4"/>
      <c r="DN511" s="4"/>
      <c r="DO511" s="4"/>
      <c r="DP511" s="4"/>
      <c r="DQ511" s="4"/>
      <c r="DR511" s="4"/>
      <c r="DS511" s="4"/>
      <c r="DT511" s="4"/>
      <c r="DU511" s="4"/>
      <c r="DV511" s="4"/>
      <c r="DW511" s="4"/>
      <c r="DX511" s="4"/>
      <c r="DY511" s="4"/>
      <c r="DZ511" s="4"/>
      <c r="EA511" s="4"/>
      <c r="EB511" s="4"/>
      <c r="EC511" s="4"/>
    </row>
    <row r="512" spans="1:133" s="13" customFormat="1" ht="63" x14ac:dyDescent="0.25">
      <c r="A512" s="129" t="s">
        <v>999</v>
      </c>
      <c r="B512" s="134" t="s">
        <v>1006</v>
      </c>
      <c r="C512" s="56" t="s">
        <v>1029</v>
      </c>
      <c r="D512" s="56" t="s">
        <v>1030</v>
      </c>
      <c r="E512" s="56">
        <v>0.3</v>
      </c>
      <c r="F512" s="56">
        <v>0.45</v>
      </c>
      <c r="G512" s="110" t="s">
        <v>1033</v>
      </c>
      <c r="H512" s="110" t="s">
        <v>1639</v>
      </c>
      <c r="I512" s="103" t="s">
        <v>1035</v>
      </c>
      <c r="J512" s="103" t="s">
        <v>1683</v>
      </c>
      <c r="K512" s="56">
        <v>1</v>
      </c>
      <c r="L512" s="86">
        <v>8</v>
      </c>
      <c r="M512" s="98" t="s">
        <v>838</v>
      </c>
      <c r="N512" s="56" t="s">
        <v>164</v>
      </c>
      <c r="O512" s="54" t="s">
        <v>1014</v>
      </c>
      <c r="P512" s="58" t="s">
        <v>39</v>
      </c>
      <c r="Q512" s="171" t="s">
        <v>1680</v>
      </c>
      <c r="R512" s="182">
        <v>2</v>
      </c>
      <c r="S512" s="178">
        <v>2</v>
      </c>
      <c r="T512" s="178">
        <v>2</v>
      </c>
      <c r="U512" s="183">
        <v>2</v>
      </c>
      <c r="V512" s="59">
        <v>2000000000</v>
      </c>
      <c r="W512" s="60">
        <v>4000000000</v>
      </c>
      <c r="X512" s="60"/>
      <c r="Y512" s="60"/>
      <c r="Z512" s="60"/>
      <c r="AA512" s="61"/>
      <c r="AB512" s="62">
        <v>6000000000</v>
      </c>
      <c r="AC512" s="60"/>
      <c r="AD512" s="60"/>
      <c r="AE512" s="60"/>
      <c r="AF512" s="60"/>
      <c r="AG512" s="60"/>
      <c r="AH512" s="63"/>
      <c r="AI512" s="62">
        <v>6000000000</v>
      </c>
      <c r="AJ512" s="60"/>
      <c r="AK512" s="60"/>
      <c r="AL512" s="60"/>
      <c r="AM512" s="60"/>
      <c r="AN512" s="60"/>
      <c r="AO512" s="63"/>
      <c r="AP512" s="62">
        <v>6000000000</v>
      </c>
      <c r="AQ512" s="60"/>
      <c r="AR512" s="60"/>
      <c r="AS512" s="60"/>
      <c r="AT512" s="60"/>
      <c r="AU512" s="60"/>
      <c r="AV512" s="64"/>
      <c r="AW512" s="55">
        <f t="shared" si="41"/>
        <v>6000000000</v>
      </c>
      <c r="AX512" s="55">
        <f t="shared" si="42"/>
        <v>6000000000</v>
      </c>
      <c r="AY512" s="55">
        <f t="shared" si="43"/>
        <v>6000000000</v>
      </c>
      <c r="AZ512" s="55">
        <f t="shared" si="44"/>
        <v>6000000000</v>
      </c>
      <c r="BA512" s="55">
        <f t="shared" si="45"/>
        <v>24000000000</v>
      </c>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c r="CP512" s="4"/>
      <c r="CQ512" s="4"/>
      <c r="CR512" s="4"/>
      <c r="CS512" s="4"/>
      <c r="CT512" s="4"/>
      <c r="CU512" s="4"/>
      <c r="CV512" s="4"/>
      <c r="CW512" s="4"/>
      <c r="CX512" s="4"/>
      <c r="CY512" s="4"/>
      <c r="CZ512" s="4"/>
      <c r="DA512" s="4"/>
      <c r="DB512" s="4"/>
      <c r="DC512" s="4"/>
      <c r="DD512" s="4"/>
      <c r="DE512" s="4"/>
      <c r="DF512" s="4"/>
      <c r="DG512" s="4"/>
      <c r="DH512" s="4"/>
      <c r="DI512" s="4"/>
      <c r="DJ512" s="4"/>
      <c r="DK512" s="4"/>
      <c r="DL512" s="4"/>
      <c r="DM512" s="4"/>
      <c r="DN512" s="4"/>
      <c r="DO512" s="4"/>
      <c r="DP512" s="4"/>
      <c r="DQ512" s="4"/>
      <c r="DR512" s="4"/>
      <c r="DS512" s="4"/>
      <c r="DT512" s="4"/>
      <c r="DU512" s="4"/>
      <c r="DV512" s="4"/>
      <c r="DW512" s="4"/>
      <c r="DX512" s="4"/>
      <c r="DY512" s="4"/>
      <c r="DZ512" s="4"/>
      <c r="EA512" s="4"/>
      <c r="EB512" s="4"/>
      <c r="EC512" s="4"/>
    </row>
    <row r="513" spans="1:133" s="13" customFormat="1" ht="63" x14ac:dyDescent="0.25">
      <c r="A513" s="129" t="s">
        <v>999</v>
      </c>
      <c r="B513" s="134" t="s">
        <v>1006</v>
      </c>
      <c r="C513" s="56" t="s">
        <v>1029</v>
      </c>
      <c r="D513" s="56" t="s">
        <v>1030</v>
      </c>
      <c r="E513" s="56">
        <v>0.3</v>
      </c>
      <c r="F513" s="56">
        <v>0.45</v>
      </c>
      <c r="G513" s="110" t="s">
        <v>1033</v>
      </c>
      <c r="H513" s="110" t="s">
        <v>1640</v>
      </c>
      <c r="I513" s="103" t="s">
        <v>1036</v>
      </c>
      <c r="J513" s="103" t="s">
        <v>1683</v>
      </c>
      <c r="K513" s="56">
        <v>0</v>
      </c>
      <c r="L513" s="86">
        <v>1</v>
      </c>
      <c r="M513" s="98" t="s">
        <v>1013</v>
      </c>
      <c r="N513" s="56" t="s">
        <v>164</v>
      </c>
      <c r="O513" s="54" t="s">
        <v>1014</v>
      </c>
      <c r="P513" s="58" t="s">
        <v>39</v>
      </c>
      <c r="Q513" s="171" t="s">
        <v>1680</v>
      </c>
      <c r="R513" s="182">
        <v>0</v>
      </c>
      <c r="S513" s="178">
        <v>0</v>
      </c>
      <c r="T513" s="178">
        <v>1</v>
      </c>
      <c r="U513" s="183">
        <v>0</v>
      </c>
      <c r="V513" s="59"/>
      <c r="W513" s="60"/>
      <c r="X513" s="60"/>
      <c r="Y513" s="60"/>
      <c r="Z513" s="60"/>
      <c r="AA513" s="61"/>
      <c r="AB513" s="62"/>
      <c r="AC513" s="60"/>
      <c r="AD513" s="60"/>
      <c r="AE513" s="60"/>
      <c r="AF513" s="60"/>
      <c r="AG513" s="60"/>
      <c r="AH513" s="63"/>
      <c r="AI513" s="62">
        <v>200000000</v>
      </c>
      <c r="AJ513" s="60"/>
      <c r="AK513" s="60"/>
      <c r="AL513" s="60"/>
      <c r="AM513" s="60"/>
      <c r="AN513" s="60"/>
      <c r="AO513" s="63"/>
      <c r="AP513" s="62"/>
      <c r="AQ513" s="60"/>
      <c r="AR513" s="60"/>
      <c r="AS513" s="60"/>
      <c r="AT513" s="60"/>
      <c r="AU513" s="60"/>
      <c r="AV513" s="64"/>
      <c r="AW513" s="55">
        <f t="shared" si="41"/>
        <v>0</v>
      </c>
      <c r="AX513" s="55">
        <f t="shared" si="42"/>
        <v>0</v>
      </c>
      <c r="AY513" s="55">
        <f t="shared" si="43"/>
        <v>200000000</v>
      </c>
      <c r="AZ513" s="55">
        <f t="shared" si="44"/>
        <v>0</v>
      </c>
      <c r="BA513" s="55">
        <f t="shared" si="45"/>
        <v>200000000</v>
      </c>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c r="CP513" s="4"/>
      <c r="CQ513" s="4"/>
      <c r="CR513" s="4"/>
      <c r="CS513" s="4"/>
      <c r="CT513" s="4"/>
      <c r="CU513" s="4"/>
      <c r="CV513" s="4"/>
      <c r="CW513" s="4"/>
      <c r="CX513" s="4"/>
      <c r="CY513" s="4"/>
      <c r="CZ513" s="4"/>
      <c r="DA513" s="4"/>
      <c r="DB513" s="4"/>
      <c r="DC513" s="4"/>
      <c r="DD513" s="4"/>
      <c r="DE513" s="4"/>
      <c r="DF513" s="4"/>
      <c r="DG513" s="4"/>
      <c r="DH513" s="4"/>
      <c r="DI513" s="4"/>
      <c r="DJ513" s="4"/>
      <c r="DK513" s="4"/>
      <c r="DL513" s="4"/>
      <c r="DM513" s="4"/>
      <c r="DN513" s="4"/>
      <c r="DO513" s="4"/>
      <c r="DP513" s="4"/>
      <c r="DQ513" s="4"/>
      <c r="DR513" s="4"/>
      <c r="DS513" s="4"/>
      <c r="DT513" s="4"/>
      <c r="DU513" s="4"/>
      <c r="DV513" s="4"/>
      <c r="DW513" s="4"/>
      <c r="DX513" s="4"/>
      <c r="DY513" s="4"/>
      <c r="DZ513" s="4"/>
      <c r="EA513" s="4"/>
      <c r="EB513" s="4"/>
      <c r="EC513" s="4"/>
    </row>
    <row r="514" spans="1:133" s="13" customFormat="1" ht="63" x14ac:dyDescent="0.25">
      <c r="A514" s="129" t="s">
        <v>999</v>
      </c>
      <c r="B514" s="134" t="s">
        <v>1006</v>
      </c>
      <c r="C514" s="56" t="s">
        <v>1029</v>
      </c>
      <c r="D514" s="56" t="s">
        <v>1030</v>
      </c>
      <c r="E514" s="56">
        <v>0.3</v>
      </c>
      <c r="F514" s="56">
        <v>0.45</v>
      </c>
      <c r="G514" s="110" t="s">
        <v>1037</v>
      </c>
      <c r="H514" s="110" t="s">
        <v>1641</v>
      </c>
      <c r="I514" s="103" t="s">
        <v>1038</v>
      </c>
      <c r="J514" s="103" t="s">
        <v>1682</v>
      </c>
      <c r="K514" s="178">
        <v>0</v>
      </c>
      <c r="L514" s="179">
        <v>100</v>
      </c>
      <c r="M514" s="98" t="s">
        <v>835</v>
      </c>
      <c r="N514" s="56" t="s">
        <v>164</v>
      </c>
      <c r="O514" s="54" t="s">
        <v>204</v>
      </c>
      <c r="P514" s="58" t="s">
        <v>39</v>
      </c>
      <c r="Q514" s="171" t="s">
        <v>1680</v>
      </c>
      <c r="R514" s="182">
        <v>0</v>
      </c>
      <c r="S514" s="178">
        <v>0</v>
      </c>
      <c r="T514" s="178">
        <v>50</v>
      </c>
      <c r="U514" s="183">
        <v>50</v>
      </c>
      <c r="V514" s="59"/>
      <c r="W514" s="60"/>
      <c r="X514" s="60"/>
      <c r="Y514" s="60"/>
      <c r="Z514" s="60"/>
      <c r="AA514" s="61"/>
      <c r="AB514" s="62"/>
      <c r="AC514" s="60"/>
      <c r="AD514" s="60"/>
      <c r="AE514" s="60"/>
      <c r="AF514" s="60"/>
      <c r="AG514" s="60"/>
      <c r="AH514" s="63"/>
      <c r="AI514" s="62"/>
      <c r="AJ514" s="60"/>
      <c r="AK514" s="60"/>
      <c r="AL514" s="60"/>
      <c r="AM514" s="60">
        <v>9614151721.2350006</v>
      </c>
      <c r="AN514" s="60"/>
      <c r="AO514" s="63"/>
      <c r="AP514" s="62"/>
      <c r="AQ514" s="60"/>
      <c r="AR514" s="60"/>
      <c r="AS514" s="60"/>
      <c r="AT514" s="60">
        <v>7227633685.4049997</v>
      </c>
      <c r="AU514" s="60"/>
      <c r="AV514" s="64"/>
      <c r="AW514" s="55">
        <f t="shared" si="41"/>
        <v>0</v>
      </c>
      <c r="AX514" s="55">
        <f t="shared" si="42"/>
        <v>0</v>
      </c>
      <c r="AY514" s="55">
        <f t="shared" si="43"/>
        <v>9614151721.2350006</v>
      </c>
      <c r="AZ514" s="55">
        <f t="shared" si="44"/>
        <v>7227633685.4049997</v>
      </c>
      <c r="BA514" s="55">
        <f t="shared" si="45"/>
        <v>16841785406.639999</v>
      </c>
      <c r="BB514" s="32"/>
      <c r="BC514" s="32"/>
      <c r="BD514" s="32"/>
      <c r="BE514" s="32"/>
      <c r="BF514" s="32"/>
      <c r="BG514" s="32"/>
      <c r="BH514" s="32"/>
      <c r="BI514" s="32"/>
      <c r="BJ514" s="32"/>
      <c r="BK514" s="32"/>
      <c r="BL514" s="32"/>
      <c r="BM514" s="32"/>
      <c r="BN514" s="32"/>
      <c r="BO514" s="32"/>
      <c r="BP514" s="32"/>
      <c r="BQ514" s="32"/>
      <c r="BR514" s="32"/>
      <c r="BS514" s="32"/>
      <c r="BT514" s="32"/>
      <c r="BU514" s="32"/>
      <c r="BV514" s="32"/>
      <c r="BW514" s="32"/>
      <c r="BX514" s="32"/>
      <c r="BY514" s="32"/>
      <c r="BZ514" s="32"/>
      <c r="CA514" s="32"/>
      <c r="CB514" s="32"/>
      <c r="CC514" s="32"/>
      <c r="CD514" s="32"/>
      <c r="CE514" s="32"/>
      <c r="CF514" s="32"/>
      <c r="CG514" s="32"/>
      <c r="CH514" s="32"/>
      <c r="CI514" s="32"/>
      <c r="CJ514" s="32"/>
      <c r="CK514" s="32"/>
      <c r="CL514" s="32"/>
      <c r="CM514" s="32"/>
      <c r="CN514" s="32"/>
      <c r="CO514" s="32"/>
      <c r="CP514" s="32"/>
      <c r="CQ514" s="32"/>
      <c r="CR514" s="32"/>
      <c r="CS514" s="32"/>
      <c r="CT514" s="32"/>
      <c r="CU514" s="32"/>
      <c r="CV514" s="32"/>
      <c r="CW514" s="32"/>
      <c r="CX514" s="32"/>
      <c r="CY514" s="32"/>
      <c r="CZ514" s="32"/>
      <c r="DA514" s="32"/>
      <c r="DB514" s="32"/>
      <c r="DC514" s="32"/>
      <c r="DD514" s="32"/>
      <c r="DE514" s="32"/>
      <c r="DF514" s="32"/>
      <c r="DG514" s="32"/>
      <c r="DH514" s="32"/>
      <c r="DI514" s="32"/>
      <c r="DJ514" s="32"/>
      <c r="DK514" s="32"/>
      <c r="DL514" s="32"/>
      <c r="DM514" s="32"/>
      <c r="DN514" s="32"/>
      <c r="DO514" s="32"/>
      <c r="DP514" s="32"/>
      <c r="DQ514" s="32"/>
      <c r="DR514" s="32"/>
      <c r="DS514" s="32"/>
      <c r="DT514" s="32"/>
      <c r="DU514" s="32"/>
      <c r="DV514" s="32"/>
      <c r="DW514" s="32"/>
      <c r="DX514" s="32"/>
      <c r="DY514" s="32"/>
      <c r="DZ514" s="32"/>
      <c r="EA514" s="32"/>
      <c r="EB514" s="32"/>
      <c r="EC514" s="32"/>
    </row>
    <row r="515" spans="1:133" s="13" customFormat="1" ht="63" x14ac:dyDescent="0.25">
      <c r="A515" s="129" t="s">
        <v>999</v>
      </c>
      <c r="B515" s="134" t="s">
        <v>1006</v>
      </c>
      <c r="C515" s="56" t="s">
        <v>1029</v>
      </c>
      <c r="D515" s="56" t="s">
        <v>1030</v>
      </c>
      <c r="E515" s="56">
        <v>0.3</v>
      </c>
      <c r="F515" s="56">
        <v>0.45</v>
      </c>
      <c r="G515" s="110" t="s">
        <v>1037</v>
      </c>
      <c r="H515" s="110" t="s">
        <v>1642</v>
      </c>
      <c r="I515" s="103" t="s">
        <v>1039</v>
      </c>
      <c r="J515" s="103" t="s">
        <v>1697</v>
      </c>
      <c r="K515" s="56">
        <v>4400</v>
      </c>
      <c r="L515" s="86">
        <v>9000</v>
      </c>
      <c r="M515" s="98" t="s">
        <v>835</v>
      </c>
      <c r="N515" s="56" t="s">
        <v>164</v>
      </c>
      <c r="O515" s="54" t="s">
        <v>204</v>
      </c>
      <c r="P515" s="58" t="s">
        <v>1677</v>
      </c>
      <c r="Q515" s="171" t="s">
        <v>1680</v>
      </c>
      <c r="R515" s="182">
        <v>0</v>
      </c>
      <c r="S515" s="178">
        <v>800</v>
      </c>
      <c r="T515" s="178">
        <v>1800</v>
      </c>
      <c r="U515" s="183">
        <v>2000</v>
      </c>
      <c r="V515" s="59"/>
      <c r="W515" s="60"/>
      <c r="X515" s="60"/>
      <c r="Y515" s="60"/>
      <c r="Z515" s="60"/>
      <c r="AA515" s="61"/>
      <c r="AB515" s="62">
        <v>8087193470.5900002</v>
      </c>
      <c r="AC515" s="60"/>
      <c r="AD515" s="60">
        <v>74774910231.660004</v>
      </c>
      <c r="AE515" s="60"/>
      <c r="AF515" s="60"/>
      <c r="AG515" s="60"/>
      <c r="AH515" s="63"/>
      <c r="AI515" s="62"/>
      <c r="AJ515" s="60"/>
      <c r="AK515" s="60"/>
      <c r="AL515" s="60"/>
      <c r="AM515" s="60">
        <v>9614151721.2350006</v>
      </c>
      <c r="AN515" s="60"/>
      <c r="AO515" s="63"/>
      <c r="AP515" s="62"/>
      <c r="AQ515" s="60"/>
      <c r="AR515" s="60"/>
      <c r="AS515" s="60"/>
      <c r="AT515" s="60">
        <v>7227633685.4049997</v>
      </c>
      <c r="AU515" s="60"/>
      <c r="AV515" s="64"/>
      <c r="AW515" s="55">
        <f t="shared" si="41"/>
        <v>0</v>
      </c>
      <c r="AX515" s="55">
        <f t="shared" si="42"/>
        <v>82862103702.25</v>
      </c>
      <c r="AY515" s="55">
        <f t="shared" si="43"/>
        <v>9614151721.2350006</v>
      </c>
      <c r="AZ515" s="55">
        <f t="shared" si="44"/>
        <v>7227633685.4049997</v>
      </c>
      <c r="BA515" s="55">
        <f t="shared" si="45"/>
        <v>99703889108.889999</v>
      </c>
      <c r="BB515" s="32"/>
      <c r="BC515" s="32"/>
      <c r="BD515" s="32"/>
      <c r="BE515" s="32"/>
      <c r="BF515" s="32"/>
      <c r="BG515" s="32"/>
      <c r="BH515" s="32"/>
      <c r="BI515" s="32"/>
      <c r="BJ515" s="32"/>
      <c r="BK515" s="32"/>
      <c r="BL515" s="32"/>
      <c r="BM515" s="32"/>
      <c r="BN515" s="32"/>
      <c r="BO515" s="32"/>
      <c r="BP515" s="32"/>
      <c r="BQ515" s="32"/>
      <c r="BR515" s="32"/>
      <c r="BS515" s="32"/>
      <c r="BT515" s="32"/>
      <c r="BU515" s="32"/>
      <c r="BV515" s="32"/>
      <c r="BW515" s="32"/>
      <c r="BX515" s="32"/>
      <c r="BY515" s="32"/>
      <c r="BZ515" s="32"/>
      <c r="CA515" s="32"/>
      <c r="CB515" s="32"/>
      <c r="CC515" s="32"/>
      <c r="CD515" s="32"/>
      <c r="CE515" s="32"/>
      <c r="CF515" s="32"/>
      <c r="CG515" s="32"/>
      <c r="CH515" s="32"/>
      <c r="CI515" s="32"/>
      <c r="CJ515" s="32"/>
      <c r="CK515" s="32"/>
      <c r="CL515" s="32"/>
      <c r="CM515" s="32"/>
      <c r="CN515" s="32"/>
      <c r="CO515" s="32"/>
      <c r="CP515" s="32"/>
      <c r="CQ515" s="32"/>
      <c r="CR515" s="32"/>
      <c r="CS515" s="32"/>
      <c r="CT515" s="32"/>
      <c r="CU515" s="32"/>
      <c r="CV515" s="32"/>
      <c r="CW515" s="32"/>
      <c r="CX515" s="32"/>
      <c r="CY515" s="32"/>
      <c r="CZ515" s="32"/>
      <c r="DA515" s="32"/>
      <c r="DB515" s="32"/>
      <c r="DC515" s="32"/>
      <c r="DD515" s="32"/>
      <c r="DE515" s="32"/>
      <c r="DF515" s="32"/>
      <c r="DG515" s="32"/>
      <c r="DH515" s="32"/>
      <c r="DI515" s="32"/>
      <c r="DJ515" s="32"/>
      <c r="DK515" s="32"/>
      <c r="DL515" s="32"/>
      <c r="DM515" s="32"/>
      <c r="DN515" s="32"/>
      <c r="DO515" s="32"/>
      <c r="DP515" s="32"/>
      <c r="DQ515" s="32"/>
      <c r="DR515" s="32"/>
      <c r="DS515" s="32"/>
      <c r="DT515" s="32"/>
      <c r="DU515" s="32"/>
      <c r="DV515" s="32"/>
      <c r="DW515" s="32"/>
      <c r="DX515" s="32"/>
      <c r="DY515" s="32"/>
      <c r="DZ515" s="32"/>
      <c r="EA515" s="32"/>
      <c r="EB515" s="32"/>
      <c r="EC515" s="32"/>
    </row>
    <row r="516" spans="1:133" s="13" customFormat="1" ht="126" x14ac:dyDescent="0.25">
      <c r="A516" s="129" t="s">
        <v>999</v>
      </c>
      <c r="B516" s="134" t="s">
        <v>1040</v>
      </c>
      <c r="C516" s="112" t="s">
        <v>1041</v>
      </c>
      <c r="D516" s="112" t="s">
        <v>1042</v>
      </c>
      <c r="E516" s="112">
        <v>0</v>
      </c>
      <c r="F516" s="112">
        <v>1</v>
      </c>
      <c r="G516" s="110" t="s">
        <v>1043</v>
      </c>
      <c r="H516" s="110" t="s">
        <v>1643</v>
      </c>
      <c r="I516" s="103" t="s">
        <v>1044</v>
      </c>
      <c r="J516" s="103" t="s">
        <v>1682</v>
      </c>
      <c r="K516" s="178">
        <v>0</v>
      </c>
      <c r="L516" s="179">
        <v>100</v>
      </c>
      <c r="M516" s="103" t="s">
        <v>1140</v>
      </c>
      <c r="N516" s="108" t="s">
        <v>214</v>
      </c>
      <c r="O516" s="54" t="s">
        <v>1014</v>
      </c>
      <c r="P516" s="58" t="s">
        <v>39</v>
      </c>
      <c r="Q516" s="171" t="s">
        <v>1680</v>
      </c>
      <c r="R516" s="182">
        <v>100</v>
      </c>
      <c r="S516" s="178">
        <v>0</v>
      </c>
      <c r="T516" s="178">
        <v>0</v>
      </c>
      <c r="U516" s="183">
        <v>0</v>
      </c>
      <c r="V516" s="59">
        <v>600000000</v>
      </c>
      <c r="W516" s="60"/>
      <c r="X516" s="60"/>
      <c r="Y516" s="60"/>
      <c r="Z516" s="60"/>
      <c r="AA516" s="61"/>
      <c r="AB516" s="62">
        <v>0</v>
      </c>
      <c r="AC516" s="60"/>
      <c r="AD516" s="60"/>
      <c r="AE516" s="60"/>
      <c r="AF516" s="60"/>
      <c r="AG516" s="60"/>
      <c r="AH516" s="63"/>
      <c r="AI516" s="62">
        <v>0</v>
      </c>
      <c r="AJ516" s="60"/>
      <c r="AK516" s="60"/>
      <c r="AL516" s="60"/>
      <c r="AM516" s="60"/>
      <c r="AN516" s="60"/>
      <c r="AO516" s="63"/>
      <c r="AP516" s="62">
        <v>0</v>
      </c>
      <c r="AQ516" s="60"/>
      <c r="AR516" s="60"/>
      <c r="AS516" s="60"/>
      <c r="AT516" s="60"/>
      <c r="AU516" s="60"/>
      <c r="AV516" s="64"/>
      <c r="AW516" s="55">
        <f t="shared" ref="AW516:AW549" si="46">SUM(V516:AA516)</f>
        <v>600000000</v>
      </c>
      <c r="AX516" s="55">
        <f t="shared" ref="AX516:AX549" si="47">SUM(AB516:AH516)</f>
        <v>0</v>
      </c>
      <c r="AY516" s="55">
        <f t="shared" ref="AY516:AY549" si="48">SUM(AI516:AO516)</f>
        <v>0</v>
      </c>
      <c r="AZ516" s="55">
        <f t="shared" ref="AZ516:AZ549" si="49">SUM(AP516:AV516)</f>
        <v>0</v>
      </c>
      <c r="BA516" s="55">
        <f t="shared" ref="BA516:BA549" si="50">SUM(AW516:AZ516)</f>
        <v>600000000</v>
      </c>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c r="CG516" s="4"/>
      <c r="CH516" s="4"/>
      <c r="CI516" s="4"/>
      <c r="CJ516" s="4"/>
      <c r="CK516" s="4"/>
      <c r="CL516" s="4"/>
      <c r="CM516" s="4"/>
      <c r="CN516" s="4"/>
      <c r="CO516" s="4"/>
      <c r="CP516" s="4"/>
      <c r="CQ516" s="4"/>
      <c r="CR516" s="4"/>
      <c r="CS516" s="4"/>
      <c r="CT516" s="4"/>
      <c r="CU516" s="4"/>
      <c r="CV516" s="4"/>
      <c r="CW516" s="4"/>
      <c r="CX516" s="4"/>
      <c r="CY516" s="4"/>
      <c r="CZ516" s="4"/>
      <c r="DA516" s="4"/>
      <c r="DB516" s="4"/>
      <c r="DC516" s="4"/>
      <c r="DD516" s="4"/>
      <c r="DE516" s="4"/>
      <c r="DF516" s="4"/>
      <c r="DG516" s="4"/>
      <c r="DH516" s="4"/>
      <c r="DI516" s="4"/>
      <c r="DJ516" s="4"/>
      <c r="DK516" s="4"/>
      <c r="DL516" s="4"/>
      <c r="DM516" s="4"/>
      <c r="DN516" s="4"/>
      <c r="DO516" s="4"/>
      <c r="DP516" s="4"/>
      <c r="DQ516" s="4"/>
      <c r="DR516" s="4"/>
      <c r="DS516" s="4"/>
      <c r="DT516" s="4"/>
      <c r="DU516" s="4"/>
      <c r="DV516" s="4"/>
      <c r="DW516" s="4"/>
      <c r="DX516" s="4"/>
      <c r="DY516" s="4"/>
      <c r="DZ516" s="4"/>
      <c r="EA516" s="4"/>
      <c r="EB516" s="4"/>
      <c r="EC516" s="4"/>
    </row>
    <row r="517" spans="1:133" s="13" customFormat="1" ht="78.75" x14ac:dyDescent="0.25">
      <c r="A517" s="129" t="s">
        <v>999</v>
      </c>
      <c r="B517" s="134" t="s">
        <v>1040</v>
      </c>
      <c r="C517" s="112" t="s">
        <v>1041</v>
      </c>
      <c r="D517" s="112" t="s">
        <v>1042</v>
      </c>
      <c r="E517" s="112">
        <v>0</v>
      </c>
      <c r="F517" s="112">
        <v>1</v>
      </c>
      <c r="G517" s="110" t="s">
        <v>1043</v>
      </c>
      <c r="H517" s="110" t="s">
        <v>1644</v>
      </c>
      <c r="I517" s="103" t="s">
        <v>1045</v>
      </c>
      <c r="J517" s="103" t="s">
        <v>1682</v>
      </c>
      <c r="K517" s="178">
        <v>0</v>
      </c>
      <c r="L517" s="179">
        <v>100</v>
      </c>
      <c r="M517" s="103" t="s">
        <v>1140</v>
      </c>
      <c r="N517" s="108" t="s">
        <v>214</v>
      </c>
      <c r="O517" s="54" t="s">
        <v>1014</v>
      </c>
      <c r="P517" s="58" t="s">
        <v>39</v>
      </c>
      <c r="Q517" s="171" t="s">
        <v>1680</v>
      </c>
      <c r="R517" s="182">
        <v>0</v>
      </c>
      <c r="S517" s="178">
        <v>100</v>
      </c>
      <c r="T517" s="178">
        <v>0</v>
      </c>
      <c r="U517" s="183">
        <v>0</v>
      </c>
      <c r="V517" s="59">
        <v>0</v>
      </c>
      <c r="W517" s="60"/>
      <c r="X517" s="60"/>
      <c r="Y517" s="60"/>
      <c r="Z517" s="60"/>
      <c r="AA517" s="61"/>
      <c r="AB517" s="62">
        <v>100000000</v>
      </c>
      <c r="AC517" s="60"/>
      <c r="AD517" s="60"/>
      <c r="AE517" s="60"/>
      <c r="AF517" s="60"/>
      <c r="AG517" s="60"/>
      <c r="AH517" s="63"/>
      <c r="AI517" s="62">
        <v>0</v>
      </c>
      <c r="AJ517" s="60"/>
      <c r="AK517" s="60"/>
      <c r="AL517" s="60"/>
      <c r="AM517" s="60"/>
      <c r="AN517" s="60"/>
      <c r="AO517" s="63"/>
      <c r="AP517" s="62">
        <v>0</v>
      </c>
      <c r="AQ517" s="60"/>
      <c r="AR517" s="60"/>
      <c r="AS517" s="60"/>
      <c r="AT517" s="60"/>
      <c r="AU517" s="60"/>
      <c r="AV517" s="64"/>
      <c r="AW517" s="55">
        <f t="shared" si="46"/>
        <v>0</v>
      </c>
      <c r="AX517" s="55">
        <f t="shared" si="47"/>
        <v>100000000</v>
      </c>
      <c r="AY517" s="55">
        <f t="shared" si="48"/>
        <v>0</v>
      </c>
      <c r="AZ517" s="55">
        <f t="shared" si="49"/>
        <v>0</v>
      </c>
      <c r="BA517" s="55">
        <f t="shared" si="50"/>
        <v>100000000</v>
      </c>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4"/>
      <c r="CF517" s="4"/>
      <c r="CG517" s="4"/>
      <c r="CH517" s="4"/>
      <c r="CI517" s="4"/>
      <c r="CJ517" s="4"/>
      <c r="CK517" s="4"/>
      <c r="CL517" s="4"/>
      <c r="CM517" s="4"/>
      <c r="CN517" s="4"/>
      <c r="CO517" s="4"/>
      <c r="CP517" s="4"/>
      <c r="CQ517" s="4"/>
      <c r="CR517" s="4"/>
      <c r="CS517" s="4"/>
      <c r="CT517" s="4"/>
      <c r="CU517" s="4"/>
      <c r="CV517" s="4"/>
      <c r="CW517" s="4"/>
      <c r="CX517" s="4"/>
      <c r="CY517" s="4"/>
      <c r="CZ517" s="4"/>
      <c r="DA517" s="4"/>
      <c r="DB517" s="4"/>
      <c r="DC517" s="4"/>
      <c r="DD517" s="4"/>
      <c r="DE517" s="4"/>
      <c r="DF517" s="4"/>
      <c r="DG517" s="4"/>
      <c r="DH517" s="4"/>
      <c r="DI517" s="4"/>
      <c r="DJ517" s="4"/>
      <c r="DK517" s="4"/>
      <c r="DL517" s="4"/>
      <c r="DM517" s="4"/>
      <c r="DN517" s="4"/>
      <c r="DO517" s="4"/>
      <c r="DP517" s="4"/>
      <c r="DQ517" s="4"/>
      <c r="DR517" s="4"/>
      <c r="DS517" s="4"/>
      <c r="DT517" s="4"/>
      <c r="DU517" s="4"/>
      <c r="DV517" s="4"/>
      <c r="DW517" s="4"/>
      <c r="DX517" s="4"/>
      <c r="DY517" s="4"/>
      <c r="DZ517" s="4"/>
      <c r="EA517" s="4"/>
      <c r="EB517" s="4"/>
      <c r="EC517" s="4"/>
    </row>
    <row r="518" spans="1:133" s="13" customFormat="1" ht="78.75" x14ac:dyDescent="0.25">
      <c r="A518" s="129" t="s">
        <v>999</v>
      </c>
      <c r="B518" s="134" t="s">
        <v>1040</v>
      </c>
      <c r="C518" s="112" t="s">
        <v>1041</v>
      </c>
      <c r="D518" s="112" t="s">
        <v>1042</v>
      </c>
      <c r="E518" s="112">
        <v>0</v>
      </c>
      <c r="F518" s="112">
        <v>1</v>
      </c>
      <c r="G518" s="110" t="s">
        <v>1043</v>
      </c>
      <c r="H518" s="110" t="s">
        <v>1645</v>
      </c>
      <c r="I518" s="103" t="s">
        <v>1046</v>
      </c>
      <c r="J518" s="103" t="s">
        <v>1682</v>
      </c>
      <c r="K518" s="178">
        <v>0</v>
      </c>
      <c r="L518" s="179">
        <v>100</v>
      </c>
      <c r="M518" s="103" t="s">
        <v>1140</v>
      </c>
      <c r="N518" s="108" t="s">
        <v>214</v>
      </c>
      <c r="O518" s="54" t="s">
        <v>1014</v>
      </c>
      <c r="P518" s="58" t="s">
        <v>39</v>
      </c>
      <c r="Q518" s="171" t="s">
        <v>1680</v>
      </c>
      <c r="R518" s="182">
        <v>1</v>
      </c>
      <c r="S518" s="178">
        <v>0</v>
      </c>
      <c r="T518" s="178">
        <v>39</v>
      </c>
      <c r="U518" s="183">
        <v>60</v>
      </c>
      <c r="V518" s="59">
        <v>1368000000</v>
      </c>
      <c r="W518" s="60"/>
      <c r="X518" s="60"/>
      <c r="Y518" s="60"/>
      <c r="Z518" s="60"/>
      <c r="AA518" s="61"/>
      <c r="AB518" s="62">
        <v>47569000000</v>
      </c>
      <c r="AC518" s="60"/>
      <c r="AD518" s="60"/>
      <c r="AE518" s="60"/>
      <c r="AF518" s="60"/>
      <c r="AG518" s="60"/>
      <c r="AH518" s="63"/>
      <c r="AI518" s="62">
        <v>26672000000</v>
      </c>
      <c r="AJ518" s="60"/>
      <c r="AK518" s="60"/>
      <c r="AL518" s="60"/>
      <c r="AM518" s="60"/>
      <c r="AN518" s="60"/>
      <c r="AO518" s="63"/>
      <c r="AP518" s="62">
        <v>32250000000</v>
      </c>
      <c r="AQ518" s="60"/>
      <c r="AR518" s="60"/>
      <c r="AS518" s="60"/>
      <c r="AT518" s="60"/>
      <c r="AU518" s="60"/>
      <c r="AV518" s="64"/>
      <c r="AW518" s="55">
        <f t="shared" si="46"/>
        <v>1368000000</v>
      </c>
      <c r="AX518" s="55">
        <f t="shared" si="47"/>
        <v>47569000000</v>
      </c>
      <c r="AY518" s="55">
        <f t="shared" si="48"/>
        <v>26672000000</v>
      </c>
      <c r="AZ518" s="55">
        <f t="shared" si="49"/>
        <v>32250000000</v>
      </c>
      <c r="BA518" s="55">
        <f t="shared" si="50"/>
        <v>107859000000</v>
      </c>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4"/>
      <c r="CF518" s="4"/>
      <c r="CG518" s="4"/>
      <c r="CH518" s="4"/>
      <c r="CI518" s="4"/>
      <c r="CJ518" s="4"/>
      <c r="CK518" s="4"/>
      <c r="CL518" s="4"/>
      <c r="CM518" s="4"/>
      <c r="CN518" s="4"/>
      <c r="CO518" s="4"/>
      <c r="CP518" s="4"/>
      <c r="CQ518" s="4"/>
      <c r="CR518" s="4"/>
      <c r="CS518" s="4"/>
      <c r="CT518" s="4"/>
      <c r="CU518" s="4"/>
      <c r="CV518" s="4"/>
      <c r="CW518" s="4"/>
      <c r="CX518" s="4"/>
      <c r="CY518" s="4"/>
      <c r="CZ518" s="4"/>
      <c r="DA518" s="4"/>
      <c r="DB518" s="4"/>
      <c r="DC518" s="4"/>
      <c r="DD518" s="4"/>
      <c r="DE518" s="4"/>
      <c r="DF518" s="4"/>
      <c r="DG518" s="4"/>
      <c r="DH518" s="4"/>
      <c r="DI518" s="4"/>
      <c r="DJ518" s="4"/>
      <c r="DK518" s="4"/>
      <c r="DL518" s="4"/>
      <c r="DM518" s="4"/>
      <c r="DN518" s="4"/>
      <c r="DO518" s="4"/>
      <c r="DP518" s="4"/>
      <c r="DQ518" s="4"/>
      <c r="DR518" s="4"/>
      <c r="DS518" s="4"/>
      <c r="DT518" s="4"/>
      <c r="DU518" s="4"/>
      <c r="DV518" s="4"/>
      <c r="DW518" s="4"/>
      <c r="DX518" s="4"/>
      <c r="DY518" s="4"/>
      <c r="DZ518" s="4"/>
      <c r="EA518" s="4"/>
      <c r="EB518" s="4"/>
      <c r="EC518" s="4"/>
    </row>
    <row r="519" spans="1:133" s="13" customFormat="1" ht="157.5" x14ac:dyDescent="0.25">
      <c r="A519" s="129" t="s">
        <v>999</v>
      </c>
      <c r="B519" s="134" t="s">
        <v>1040</v>
      </c>
      <c r="C519" s="112" t="s">
        <v>1041</v>
      </c>
      <c r="D519" s="112" t="s">
        <v>1042</v>
      </c>
      <c r="E519" s="112">
        <v>0</v>
      </c>
      <c r="F519" s="112">
        <v>1</v>
      </c>
      <c r="G519" s="103" t="s">
        <v>1047</v>
      </c>
      <c r="H519" s="103" t="s">
        <v>1646</v>
      </c>
      <c r="I519" s="103" t="s">
        <v>1048</v>
      </c>
      <c r="J519" s="103" t="s">
        <v>1683</v>
      </c>
      <c r="K519" s="56">
        <v>0</v>
      </c>
      <c r="L519" s="86">
        <v>25</v>
      </c>
      <c r="M519" s="98" t="s">
        <v>1013</v>
      </c>
      <c r="N519" s="108" t="s">
        <v>214</v>
      </c>
      <c r="O519" s="54" t="s">
        <v>1014</v>
      </c>
      <c r="P519" s="58" t="s">
        <v>39</v>
      </c>
      <c r="Q519" s="171" t="s">
        <v>1680</v>
      </c>
      <c r="R519" s="182">
        <v>0</v>
      </c>
      <c r="S519" s="178">
        <v>5</v>
      </c>
      <c r="T519" s="178">
        <v>10</v>
      </c>
      <c r="U519" s="183">
        <v>10</v>
      </c>
      <c r="V519" s="59"/>
      <c r="W519" s="60"/>
      <c r="X519" s="60"/>
      <c r="Y519" s="60"/>
      <c r="Z519" s="60"/>
      <c r="AA519" s="61"/>
      <c r="AB519" s="62">
        <v>60000000</v>
      </c>
      <c r="AC519" s="60"/>
      <c r="AD519" s="60"/>
      <c r="AE519" s="60"/>
      <c r="AF519" s="60"/>
      <c r="AG519" s="60"/>
      <c r="AH519" s="63"/>
      <c r="AI519" s="62">
        <v>68000000</v>
      </c>
      <c r="AJ519" s="60"/>
      <c r="AK519" s="60"/>
      <c r="AL519" s="60"/>
      <c r="AM519" s="60"/>
      <c r="AN519" s="60"/>
      <c r="AO519" s="63"/>
      <c r="AP519" s="62">
        <v>72000000</v>
      </c>
      <c r="AQ519" s="60"/>
      <c r="AR519" s="60"/>
      <c r="AS519" s="60"/>
      <c r="AT519" s="60"/>
      <c r="AU519" s="60"/>
      <c r="AV519" s="64"/>
      <c r="AW519" s="55">
        <f t="shared" si="46"/>
        <v>0</v>
      </c>
      <c r="AX519" s="55">
        <f t="shared" si="47"/>
        <v>60000000</v>
      </c>
      <c r="AY519" s="55">
        <f t="shared" si="48"/>
        <v>68000000</v>
      </c>
      <c r="AZ519" s="55">
        <f t="shared" si="49"/>
        <v>72000000</v>
      </c>
      <c r="BA519" s="55">
        <f t="shared" si="50"/>
        <v>200000000</v>
      </c>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4"/>
      <c r="CF519" s="4"/>
      <c r="CG519" s="4"/>
      <c r="CH519" s="4"/>
      <c r="CI519" s="4"/>
      <c r="CJ519" s="4"/>
      <c r="CK519" s="4"/>
      <c r="CL519" s="4"/>
      <c r="CM519" s="4"/>
      <c r="CN519" s="4"/>
      <c r="CO519" s="4"/>
      <c r="CP519" s="4"/>
      <c r="CQ519" s="4"/>
      <c r="CR519" s="4"/>
      <c r="CS519" s="4"/>
      <c r="CT519" s="4"/>
      <c r="CU519" s="4"/>
      <c r="CV519" s="4"/>
      <c r="CW519" s="4"/>
      <c r="CX519" s="4"/>
      <c r="CY519" s="4"/>
      <c r="CZ519" s="4"/>
      <c r="DA519" s="4"/>
      <c r="DB519" s="4"/>
      <c r="DC519" s="4"/>
      <c r="DD519" s="4"/>
      <c r="DE519" s="4"/>
      <c r="DF519" s="4"/>
      <c r="DG519" s="4"/>
      <c r="DH519" s="4"/>
      <c r="DI519" s="4"/>
      <c r="DJ519" s="4"/>
      <c r="DK519" s="4"/>
      <c r="DL519" s="4"/>
      <c r="DM519" s="4"/>
      <c r="DN519" s="4"/>
      <c r="DO519" s="4"/>
      <c r="DP519" s="4"/>
      <c r="DQ519" s="4"/>
      <c r="DR519" s="4"/>
      <c r="DS519" s="4"/>
      <c r="DT519" s="4"/>
      <c r="DU519" s="4"/>
      <c r="DV519" s="4"/>
      <c r="DW519" s="4"/>
      <c r="DX519" s="4"/>
      <c r="DY519" s="4"/>
      <c r="DZ519" s="4"/>
      <c r="EA519" s="4"/>
      <c r="EB519" s="4"/>
      <c r="EC519" s="4"/>
    </row>
    <row r="520" spans="1:133" s="13" customFormat="1" ht="63" x14ac:dyDescent="0.25">
      <c r="A520" s="129" t="s">
        <v>999</v>
      </c>
      <c r="B520" s="134" t="s">
        <v>1040</v>
      </c>
      <c r="C520" s="112" t="s">
        <v>1049</v>
      </c>
      <c r="D520" s="112" t="s">
        <v>1050</v>
      </c>
      <c r="E520" s="112" t="s">
        <v>90</v>
      </c>
      <c r="F520" s="112">
        <v>0.8</v>
      </c>
      <c r="G520" s="103" t="s">
        <v>1051</v>
      </c>
      <c r="H520" s="103" t="s">
        <v>1647</v>
      </c>
      <c r="I520" s="103" t="s">
        <v>1052</v>
      </c>
      <c r="J520" s="103" t="s">
        <v>1683</v>
      </c>
      <c r="K520" s="56">
        <v>3</v>
      </c>
      <c r="L520" s="86">
        <v>5</v>
      </c>
      <c r="M520" s="98" t="s">
        <v>1013</v>
      </c>
      <c r="N520" s="56" t="s">
        <v>164</v>
      </c>
      <c r="O520" s="54" t="s">
        <v>1014</v>
      </c>
      <c r="P520" s="58" t="s">
        <v>1677</v>
      </c>
      <c r="Q520" s="171" t="s">
        <v>1680</v>
      </c>
      <c r="R520" s="182">
        <v>0</v>
      </c>
      <c r="S520" s="178">
        <v>1</v>
      </c>
      <c r="T520" s="178">
        <v>0</v>
      </c>
      <c r="U520" s="183">
        <v>1</v>
      </c>
      <c r="V520" s="59"/>
      <c r="W520" s="60"/>
      <c r="X520" s="60"/>
      <c r="Y520" s="60"/>
      <c r="Z520" s="60"/>
      <c r="AA520" s="61"/>
      <c r="AB520" s="62"/>
      <c r="AC520" s="60"/>
      <c r="AD520" s="60">
        <v>500000000</v>
      </c>
      <c r="AE520" s="60"/>
      <c r="AF520" s="60"/>
      <c r="AG520" s="60"/>
      <c r="AH520" s="63"/>
      <c r="AI520" s="62"/>
      <c r="AJ520" s="60"/>
      <c r="AK520" s="60"/>
      <c r="AL520" s="60"/>
      <c r="AM520" s="60"/>
      <c r="AN520" s="60"/>
      <c r="AO520" s="63"/>
      <c r="AP520" s="62"/>
      <c r="AQ520" s="60"/>
      <c r="AR520" s="60">
        <v>500000000</v>
      </c>
      <c r="AS520" s="60"/>
      <c r="AT520" s="60"/>
      <c r="AU520" s="60"/>
      <c r="AV520" s="64"/>
      <c r="AW520" s="55">
        <f t="shared" si="46"/>
        <v>0</v>
      </c>
      <c r="AX520" s="55">
        <f t="shared" si="47"/>
        <v>500000000</v>
      </c>
      <c r="AY520" s="55">
        <f t="shared" si="48"/>
        <v>0</v>
      </c>
      <c r="AZ520" s="55">
        <f t="shared" si="49"/>
        <v>500000000</v>
      </c>
      <c r="BA520" s="55">
        <f t="shared" si="50"/>
        <v>1000000000</v>
      </c>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4"/>
      <c r="CF520" s="4"/>
      <c r="CG520" s="4"/>
      <c r="CH520" s="4"/>
      <c r="CI520" s="4"/>
      <c r="CJ520" s="4"/>
      <c r="CK520" s="4"/>
      <c r="CL520" s="4"/>
      <c r="CM520" s="4"/>
      <c r="CN520" s="4"/>
      <c r="CO520" s="4"/>
      <c r="CP520" s="4"/>
      <c r="CQ520" s="4"/>
      <c r="CR520" s="4"/>
      <c r="CS520" s="4"/>
      <c r="CT520" s="4"/>
      <c r="CU520" s="4"/>
      <c r="CV520" s="4"/>
      <c r="CW520" s="4"/>
      <c r="CX520" s="4"/>
      <c r="CY520" s="4"/>
      <c r="CZ520" s="4"/>
      <c r="DA520" s="4"/>
      <c r="DB520" s="4"/>
      <c r="DC520" s="4"/>
      <c r="DD520" s="4"/>
      <c r="DE520" s="4"/>
      <c r="DF520" s="4"/>
      <c r="DG520" s="4"/>
      <c r="DH520" s="4"/>
      <c r="DI520" s="4"/>
      <c r="DJ520" s="4"/>
      <c r="DK520" s="4"/>
      <c r="DL520" s="4"/>
      <c r="DM520" s="4"/>
      <c r="DN520" s="4"/>
      <c r="DO520" s="4"/>
      <c r="DP520" s="4"/>
      <c r="DQ520" s="4"/>
      <c r="DR520" s="4"/>
      <c r="DS520" s="4"/>
      <c r="DT520" s="4"/>
      <c r="DU520" s="4"/>
      <c r="DV520" s="4"/>
      <c r="DW520" s="4"/>
      <c r="DX520" s="4"/>
      <c r="DY520" s="4"/>
      <c r="DZ520" s="4"/>
      <c r="EA520" s="4"/>
      <c r="EB520" s="4"/>
      <c r="EC520" s="4"/>
    </row>
    <row r="521" spans="1:133" s="13" customFormat="1" ht="78.75" x14ac:dyDescent="0.25">
      <c r="A521" s="129" t="s">
        <v>999</v>
      </c>
      <c r="B521" s="134" t="s">
        <v>1040</v>
      </c>
      <c r="C521" s="112" t="s">
        <v>1049</v>
      </c>
      <c r="D521" s="112" t="s">
        <v>1050</v>
      </c>
      <c r="E521" s="112" t="s">
        <v>90</v>
      </c>
      <c r="F521" s="112">
        <v>0.8</v>
      </c>
      <c r="G521" s="103" t="s">
        <v>1053</v>
      </c>
      <c r="H521" s="103" t="s">
        <v>1648</v>
      </c>
      <c r="I521" s="103" t="s">
        <v>1054</v>
      </c>
      <c r="J521" s="103" t="s">
        <v>1682</v>
      </c>
      <c r="K521" s="178">
        <v>0</v>
      </c>
      <c r="L521" s="179">
        <v>100</v>
      </c>
      <c r="M521" s="98" t="s">
        <v>1013</v>
      </c>
      <c r="N521" s="56" t="s">
        <v>164</v>
      </c>
      <c r="O521" s="54" t="s">
        <v>1014</v>
      </c>
      <c r="P521" s="58" t="s">
        <v>39</v>
      </c>
      <c r="Q521" s="171" t="s">
        <v>1680</v>
      </c>
      <c r="R521" s="182">
        <v>0</v>
      </c>
      <c r="S521" s="178">
        <v>0</v>
      </c>
      <c r="T521" s="178">
        <v>100</v>
      </c>
      <c r="U521" s="183">
        <v>0</v>
      </c>
      <c r="V521" s="59"/>
      <c r="W521" s="60"/>
      <c r="X521" s="60"/>
      <c r="Y521" s="60"/>
      <c r="Z521" s="60"/>
      <c r="AA521" s="61"/>
      <c r="AB521" s="62"/>
      <c r="AC521" s="60"/>
      <c r="AD521" s="60"/>
      <c r="AE521" s="60"/>
      <c r="AF521" s="60"/>
      <c r="AG521" s="60"/>
      <c r="AH521" s="63"/>
      <c r="AI521" s="62">
        <v>300000000</v>
      </c>
      <c r="AJ521" s="60"/>
      <c r="AK521" s="60"/>
      <c r="AL521" s="60"/>
      <c r="AM521" s="60"/>
      <c r="AN521" s="60"/>
      <c r="AO521" s="63"/>
      <c r="AP521" s="62"/>
      <c r="AQ521" s="60"/>
      <c r="AR521" s="60"/>
      <c r="AS521" s="60"/>
      <c r="AT521" s="60"/>
      <c r="AU521" s="60"/>
      <c r="AV521" s="64"/>
      <c r="AW521" s="55">
        <f t="shared" si="46"/>
        <v>0</v>
      </c>
      <c r="AX521" s="55">
        <f t="shared" si="47"/>
        <v>0</v>
      </c>
      <c r="AY521" s="55">
        <f t="shared" si="48"/>
        <v>300000000</v>
      </c>
      <c r="AZ521" s="55">
        <f t="shared" si="49"/>
        <v>0</v>
      </c>
      <c r="BA521" s="55">
        <f t="shared" si="50"/>
        <v>300000000</v>
      </c>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c r="CP521" s="4"/>
      <c r="CQ521" s="4"/>
      <c r="CR521" s="4"/>
      <c r="CS521" s="4"/>
      <c r="CT521" s="4"/>
      <c r="CU521" s="4"/>
      <c r="CV521" s="4"/>
      <c r="CW521" s="4"/>
      <c r="CX521" s="4"/>
      <c r="CY521" s="4"/>
      <c r="CZ521" s="4"/>
      <c r="DA521" s="4"/>
      <c r="DB521" s="4"/>
      <c r="DC521" s="4"/>
      <c r="DD521" s="4"/>
      <c r="DE521" s="4"/>
      <c r="DF521" s="4"/>
      <c r="DG521" s="4"/>
      <c r="DH521" s="4"/>
      <c r="DI521" s="4"/>
      <c r="DJ521" s="4"/>
      <c r="DK521" s="4"/>
      <c r="DL521" s="4"/>
      <c r="DM521" s="4"/>
      <c r="DN521" s="4"/>
      <c r="DO521" s="4"/>
      <c r="DP521" s="4"/>
      <c r="DQ521" s="4"/>
      <c r="DR521" s="4"/>
      <c r="DS521" s="4"/>
      <c r="DT521" s="4"/>
      <c r="DU521" s="4"/>
      <c r="DV521" s="4"/>
      <c r="DW521" s="4"/>
      <c r="DX521" s="4"/>
      <c r="DY521" s="4"/>
      <c r="DZ521" s="4"/>
      <c r="EA521" s="4"/>
      <c r="EB521" s="4"/>
      <c r="EC521" s="4"/>
    </row>
    <row r="522" spans="1:133" s="13" customFormat="1" ht="63" x14ac:dyDescent="0.25">
      <c r="A522" s="129" t="s">
        <v>999</v>
      </c>
      <c r="B522" s="134" t="s">
        <v>1040</v>
      </c>
      <c r="C522" s="112" t="s">
        <v>1049</v>
      </c>
      <c r="D522" s="112" t="s">
        <v>1050</v>
      </c>
      <c r="E522" s="112" t="s">
        <v>90</v>
      </c>
      <c r="F522" s="112">
        <v>0.8</v>
      </c>
      <c r="G522" s="110" t="s">
        <v>1055</v>
      </c>
      <c r="H522" s="110" t="s">
        <v>1649</v>
      </c>
      <c r="I522" s="103" t="s">
        <v>1056</v>
      </c>
      <c r="J522" s="103" t="s">
        <v>1682</v>
      </c>
      <c r="K522" s="178">
        <v>0</v>
      </c>
      <c r="L522" s="179">
        <v>100</v>
      </c>
      <c r="M522" s="98" t="s">
        <v>1013</v>
      </c>
      <c r="N522" s="56" t="s">
        <v>164</v>
      </c>
      <c r="O522" s="54" t="s">
        <v>1014</v>
      </c>
      <c r="P522" s="58" t="s">
        <v>39</v>
      </c>
      <c r="Q522" s="171" t="s">
        <v>1680</v>
      </c>
      <c r="R522" s="182">
        <v>0</v>
      </c>
      <c r="S522" s="178">
        <v>40</v>
      </c>
      <c r="T522" s="178">
        <v>60</v>
      </c>
      <c r="U522" s="183">
        <v>0</v>
      </c>
      <c r="V522" s="59"/>
      <c r="W522" s="60"/>
      <c r="X522" s="60"/>
      <c r="Y522" s="60"/>
      <c r="Z522" s="60"/>
      <c r="AA522" s="61"/>
      <c r="AB522" s="62">
        <v>300000000</v>
      </c>
      <c r="AC522" s="60"/>
      <c r="AD522" s="60"/>
      <c r="AE522" s="60"/>
      <c r="AF522" s="60"/>
      <c r="AG522" s="60"/>
      <c r="AH522" s="63"/>
      <c r="AI522" s="62">
        <v>400000000</v>
      </c>
      <c r="AJ522" s="60"/>
      <c r="AK522" s="60"/>
      <c r="AL522" s="60"/>
      <c r="AM522" s="60"/>
      <c r="AN522" s="60"/>
      <c r="AO522" s="63"/>
      <c r="AP522" s="62"/>
      <c r="AQ522" s="60"/>
      <c r="AR522" s="60"/>
      <c r="AS522" s="60"/>
      <c r="AT522" s="60"/>
      <c r="AU522" s="60"/>
      <c r="AV522" s="64"/>
      <c r="AW522" s="55">
        <f t="shared" si="46"/>
        <v>0</v>
      </c>
      <c r="AX522" s="55">
        <f t="shared" si="47"/>
        <v>300000000</v>
      </c>
      <c r="AY522" s="55">
        <f t="shared" si="48"/>
        <v>400000000</v>
      </c>
      <c r="AZ522" s="55">
        <f t="shared" si="49"/>
        <v>0</v>
      </c>
      <c r="BA522" s="55">
        <f t="shared" si="50"/>
        <v>700000000</v>
      </c>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4"/>
      <c r="CF522" s="4"/>
      <c r="CG522" s="4"/>
      <c r="CH522" s="4"/>
      <c r="CI522" s="4"/>
      <c r="CJ522" s="4"/>
      <c r="CK522" s="4"/>
      <c r="CL522" s="4"/>
      <c r="CM522" s="4"/>
      <c r="CN522" s="4"/>
      <c r="CO522" s="4"/>
      <c r="CP522" s="4"/>
      <c r="CQ522" s="4"/>
      <c r="CR522" s="4"/>
      <c r="CS522" s="4"/>
      <c r="CT522" s="4"/>
      <c r="CU522" s="4"/>
      <c r="CV522" s="4"/>
      <c r="CW522" s="4"/>
      <c r="CX522" s="4"/>
      <c r="CY522" s="4"/>
      <c r="CZ522" s="4"/>
      <c r="DA522" s="4"/>
      <c r="DB522" s="4"/>
      <c r="DC522" s="4"/>
      <c r="DD522" s="4"/>
      <c r="DE522" s="4"/>
      <c r="DF522" s="4"/>
      <c r="DG522" s="4"/>
      <c r="DH522" s="4"/>
      <c r="DI522" s="4"/>
      <c r="DJ522" s="4"/>
      <c r="DK522" s="4"/>
      <c r="DL522" s="4"/>
      <c r="DM522" s="4"/>
      <c r="DN522" s="4"/>
      <c r="DO522" s="4"/>
      <c r="DP522" s="4"/>
      <c r="DQ522" s="4"/>
      <c r="DR522" s="4"/>
      <c r="DS522" s="4"/>
      <c r="DT522" s="4"/>
      <c r="DU522" s="4"/>
      <c r="DV522" s="4"/>
      <c r="DW522" s="4"/>
      <c r="DX522" s="4"/>
      <c r="DY522" s="4"/>
      <c r="DZ522" s="4"/>
      <c r="EA522" s="4"/>
      <c r="EB522" s="4"/>
      <c r="EC522" s="4"/>
    </row>
    <row r="523" spans="1:133" s="13" customFormat="1" ht="78.75" x14ac:dyDescent="0.25">
      <c r="A523" s="129" t="s">
        <v>999</v>
      </c>
      <c r="B523" s="134" t="s">
        <v>1040</v>
      </c>
      <c r="C523" s="112" t="s">
        <v>1049</v>
      </c>
      <c r="D523" s="112" t="s">
        <v>1050</v>
      </c>
      <c r="E523" s="112" t="s">
        <v>90</v>
      </c>
      <c r="F523" s="112">
        <v>0.8</v>
      </c>
      <c r="G523" s="110" t="s">
        <v>1055</v>
      </c>
      <c r="H523" s="110" t="s">
        <v>1650</v>
      </c>
      <c r="I523" s="103" t="s">
        <v>1057</v>
      </c>
      <c r="J523" s="103" t="s">
        <v>1682</v>
      </c>
      <c r="K523" s="178">
        <v>0</v>
      </c>
      <c r="L523" s="179">
        <v>100</v>
      </c>
      <c r="M523" s="98" t="s">
        <v>1013</v>
      </c>
      <c r="N523" s="56" t="s">
        <v>164</v>
      </c>
      <c r="O523" s="54" t="s">
        <v>1014</v>
      </c>
      <c r="P523" s="58" t="s">
        <v>39</v>
      </c>
      <c r="Q523" s="171" t="s">
        <v>1680</v>
      </c>
      <c r="R523" s="182">
        <v>0</v>
      </c>
      <c r="S523" s="178">
        <v>50</v>
      </c>
      <c r="T523" s="178">
        <v>50</v>
      </c>
      <c r="U523" s="183">
        <v>0</v>
      </c>
      <c r="V523" s="59"/>
      <c r="W523" s="60"/>
      <c r="X523" s="60"/>
      <c r="Y523" s="60"/>
      <c r="Z523" s="60"/>
      <c r="AA523" s="61"/>
      <c r="AB523" s="62">
        <v>150000000</v>
      </c>
      <c r="AC523" s="60"/>
      <c r="AD523" s="60"/>
      <c r="AE523" s="60"/>
      <c r="AF523" s="60"/>
      <c r="AG523" s="60"/>
      <c r="AH523" s="63"/>
      <c r="AI523" s="62">
        <v>150000000</v>
      </c>
      <c r="AJ523" s="60"/>
      <c r="AK523" s="60"/>
      <c r="AL523" s="60"/>
      <c r="AM523" s="60"/>
      <c r="AN523" s="60"/>
      <c r="AO523" s="63"/>
      <c r="AP523" s="62"/>
      <c r="AQ523" s="60"/>
      <c r="AR523" s="60"/>
      <c r="AS523" s="60"/>
      <c r="AT523" s="60"/>
      <c r="AU523" s="60"/>
      <c r="AV523" s="64"/>
      <c r="AW523" s="55">
        <f t="shared" si="46"/>
        <v>0</v>
      </c>
      <c r="AX523" s="55">
        <f t="shared" si="47"/>
        <v>150000000</v>
      </c>
      <c r="AY523" s="55">
        <f t="shared" si="48"/>
        <v>150000000</v>
      </c>
      <c r="AZ523" s="55">
        <f t="shared" si="49"/>
        <v>0</v>
      </c>
      <c r="BA523" s="55">
        <f t="shared" si="50"/>
        <v>300000000</v>
      </c>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4"/>
      <c r="CF523" s="4"/>
      <c r="CG523" s="4"/>
      <c r="CH523" s="4"/>
      <c r="CI523" s="4"/>
      <c r="CJ523" s="4"/>
      <c r="CK523" s="4"/>
      <c r="CL523" s="4"/>
      <c r="CM523" s="4"/>
      <c r="CN523" s="4"/>
      <c r="CO523" s="4"/>
      <c r="CP523" s="4"/>
      <c r="CQ523" s="4"/>
      <c r="CR523" s="4"/>
      <c r="CS523" s="4"/>
      <c r="CT523" s="4"/>
      <c r="CU523" s="4"/>
      <c r="CV523" s="4"/>
      <c r="CW523" s="4"/>
      <c r="CX523" s="4"/>
      <c r="CY523" s="4"/>
      <c r="CZ523" s="4"/>
      <c r="DA523" s="4"/>
      <c r="DB523" s="4"/>
      <c r="DC523" s="4"/>
      <c r="DD523" s="4"/>
      <c r="DE523" s="4"/>
      <c r="DF523" s="4"/>
      <c r="DG523" s="4"/>
      <c r="DH523" s="4"/>
      <c r="DI523" s="4"/>
      <c r="DJ523" s="4"/>
      <c r="DK523" s="4"/>
      <c r="DL523" s="4"/>
      <c r="DM523" s="4"/>
      <c r="DN523" s="4"/>
      <c r="DO523" s="4"/>
      <c r="DP523" s="4"/>
      <c r="DQ523" s="4"/>
      <c r="DR523" s="4"/>
      <c r="DS523" s="4"/>
      <c r="DT523" s="4"/>
      <c r="DU523" s="4"/>
      <c r="DV523" s="4"/>
      <c r="DW523" s="4"/>
      <c r="DX523" s="4"/>
      <c r="DY523" s="4"/>
      <c r="DZ523" s="4"/>
      <c r="EA523" s="4"/>
      <c r="EB523" s="4"/>
      <c r="EC523" s="4"/>
    </row>
    <row r="524" spans="1:133" s="13" customFormat="1" ht="63" x14ac:dyDescent="0.25">
      <c r="A524" s="129" t="s">
        <v>999</v>
      </c>
      <c r="B524" s="134" t="s">
        <v>1040</v>
      </c>
      <c r="C524" s="112" t="s">
        <v>1049</v>
      </c>
      <c r="D524" s="112" t="s">
        <v>1050</v>
      </c>
      <c r="E524" s="112" t="s">
        <v>90</v>
      </c>
      <c r="F524" s="112">
        <v>0.8</v>
      </c>
      <c r="G524" s="110" t="s">
        <v>1055</v>
      </c>
      <c r="H524" s="110" t="s">
        <v>1651</v>
      </c>
      <c r="I524" s="103" t="s">
        <v>1058</v>
      </c>
      <c r="J524" s="103" t="s">
        <v>1683</v>
      </c>
      <c r="K524" s="56">
        <v>0</v>
      </c>
      <c r="L524" s="86">
        <v>4</v>
      </c>
      <c r="M524" s="98" t="s">
        <v>1013</v>
      </c>
      <c r="N524" s="56" t="s">
        <v>164</v>
      </c>
      <c r="O524" s="54" t="s">
        <v>1014</v>
      </c>
      <c r="P524" s="58" t="s">
        <v>39</v>
      </c>
      <c r="Q524" s="171" t="s">
        <v>1680</v>
      </c>
      <c r="R524" s="182">
        <v>0</v>
      </c>
      <c r="S524" s="178">
        <v>1</v>
      </c>
      <c r="T524" s="178">
        <v>2</v>
      </c>
      <c r="U524" s="183">
        <v>1</v>
      </c>
      <c r="V524" s="59"/>
      <c r="W524" s="60"/>
      <c r="X524" s="60"/>
      <c r="Y524" s="60"/>
      <c r="Z524" s="60"/>
      <c r="AA524" s="61"/>
      <c r="AB524" s="62">
        <v>30000000</v>
      </c>
      <c r="AC524" s="60"/>
      <c r="AD524" s="60"/>
      <c r="AE524" s="60"/>
      <c r="AF524" s="60"/>
      <c r="AG524" s="60"/>
      <c r="AH524" s="63"/>
      <c r="AI524" s="62">
        <v>50000000</v>
      </c>
      <c r="AJ524" s="60"/>
      <c r="AK524" s="60"/>
      <c r="AL524" s="60"/>
      <c r="AM524" s="60"/>
      <c r="AN524" s="60"/>
      <c r="AO524" s="63"/>
      <c r="AP524" s="62">
        <v>20000000</v>
      </c>
      <c r="AQ524" s="60"/>
      <c r="AR524" s="60"/>
      <c r="AS524" s="60"/>
      <c r="AT524" s="60"/>
      <c r="AU524" s="60"/>
      <c r="AV524" s="64"/>
      <c r="AW524" s="55">
        <f t="shared" si="46"/>
        <v>0</v>
      </c>
      <c r="AX524" s="55">
        <f t="shared" si="47"/>
        <v>30000000</v>
      </c>
      <c r="AY524" s="55">
        <f t="shared" si="48"/>
        <v>50000000</v>
      </c>
      <c r="AZ524" s="55">
        <f t="shared" si="49"/>
        <v>20000000</v>
      </c>
      <c r="BA524" s="55">
        <f t="shared" si="50"/>
        <v>100000000</v>
      </c>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4"/>
      <c r="CF524" s="4"/>
      <c r="CG524" s="4"/>
      <c r="CH524" s="4"/>
      <c r="CI524" s="4"/>
      <c r="CJ524" s="4"/>
      <c r="CK524" s="4"/>
      <c r="CL524" s="4"/>
      <c r="CM524" s="4"/>
      <c r="CN524" s="4"/>
      <c r="CO524" s="4"/>
      <c r="CP524" s="4"/>
      <c r="CQ524" s="4"/>
      <c r="CR524" s="4"/>
      <c r="CS524" s="4"/>
      <c r="CT524" s="4"/>
      <c r="CU524" s="4"/>
      <c r="CV524" s="4"/>
      <c r="CW524" s="4"/>
      <c r="CX524" s="4"/>
      <c r="CY524" s="4"/>
      <c r="CZ524" s="4"/>
      <c r="DA524" s="4"/>
      <c r="DB524" s="4"/>
      <c r="DC524" s="4"/>
      <c r="DD524" s="4"/>
      <c r="DE524" s="4"/>
      <c r="DF524" s="4"/>
      <c r="DG524" s="4"/>
      <c r="DH524" s="4"/>
      <c r="DI524" s="4"/>
      <c r="DJ524" s="4"/>
      <c r="DK524" s="4"/>
      <c r="DL524" s="4"/>
      <c r="DM524" s="4"/>
      <c r="DN524" s="4"/>
      <c r="DO524" s="4"/>
      <c r="DP524" s="4"/>
      <c r="DQ524" s="4"/>
      <c r="DR524" s="4"/>
      <c r="DS524" s="4"/>
      <c r="DT524" s="4"/>
      <c r="DU524" s="4"/>
      <c r="DV524" s="4"/>
      <c r="DW524" s="4"/>
      <c r="DX524" s="4"/>
      <c r="DY524" s="4"/>
      <c r="DZ524" s="4"/>
      <c r="EA524" s="4"/>
      <c r="EB524" s="4"/>
      <c r="EC524" s="4"/>
    </row>
    <row r="525" spans="1:133" s="13" customFormat="1" ht="63" x14ac:dyDescent="0.25">
      <c r="A525" s="129" t="s">
        <v>999</v>
      </c>
      <c r="B525" s="134" t="s">
        <v>1040</v>
      </c>
      <c r="C525" s="127" t="s">
        <v>1059</v>
      </c>
      <c r="D525" s="135" t="s">
        <v>1060</v>
      </c>
      <c r="E525" s="135">
        <v>21.7</v>
      </c>
      <c r="F525" s="135">
        <v>50</v>
      </c>
      <c r="G525" s="110" t="s">
        <v>1061</v>
      </c>
      <c r="H525" s="110" t="s">
        <v>1652</v>
      </c>
      <c r="I525" s="103" t="s">
        <v>1062</v>
      </c>
      <c r="J525" s="103" t="s">
        <v>1682</v>
      </c>
      <c r="K525" s="56" t="s">
        <v>90</v>
      </c>
      <c r="L525" s="179">
        <v>100</v>
      </c>
      <c r="M525" s="98" t="s">
        <v>1140</v>
      </c>
      <c r="N525" s="56" t="s">
        <v>164</v>
      </c>
      <c r="O525" s="54" t="s">
        <v>204</v>
      </c>
      <c r="P525" s="58" t="s">
        <v>39</v>
      </c>
      <c r="Q525" s="171" t="s">
        <v>1680</v>
      </c>
      <c r="R525" s="182">
        <v>0</v>
      </c>
      <c r="S525" s="178">
        <v>30</v>
      </c>
      <c r="T525" s="178">
        <v>50</v>
      </c>
      <c r="U525" s="183">
        <v>20</v>
      </c>
      <c r="V525" s="59"/>
      <c r="W525" s="60"/>
      <c r="X525" s="60"/>
      <c r="Y525" s="60"/>
      <c r="Z525" s="60"/>
      <c r="AA525" s="61"/>
      <c r="AB525" s="62">
        <v>135000000</v>
      </c>
      <c r="AC525" s="60"/>
      <c r="AD525" s="60"/>
      <c r="AE525" s="60"/>
      <c r="AF525" s="60"/>
      <c r="AG525" s="60"/>
      <c r="AH525" s="63"/>
      <c r="AI525" s="62">
        <v>225000000</v>
      </c>
      <c r="AJ525" s="60"/>
      <c r="AK525" s="60"/>
      <c r="AL525" s="60"/>
      <c r="AM525" s="60"/>
      <c r="AN525" s="60"/>
      <c r="AO525" s="63"/>
      <c r="AP525" s="62">
        <v>90000000</v>
      </c>
      <c r="AQ525" s="60"/>
      <c r="AR525" s="60"/>
      <c r="AS525" s="60"/>
      <c r="AT525" s="60"/>
      <c r="AU525" s="60"/>
      <c r="AV525" s="64"/>
      <c r="AW525" s="55">
        <f t="shared" si="46"/>
        <v>0</v>
      </c>
      <c r="AX525" s="55">
        <f t="shared" si="47"/>
        <v>135000000</v>
      </c>
      <c r="AY525" s="55">
        <f t="shared" si="48"/>
        <v>225000000</v>
      </c>
      <c r="AZ525" s="55">
        <f t="shared" si="49"/>
        <v>90000000</v>
      </c>
      <c r="BA525" s="55">
        <f t="shared" si="50"/>
        <v>450000000</v>
      </c>
      <c r="BB525" s="32"/>
      <c r="BC525" s="32"/>
      <c r="BD525" s="32"/>
      <c r="BE525" s="32"/>
      <c r="BF525" s="32"/>
      <c r="BG525" s="32"/>
      <c r="BH525" s="32"/>
      <c r="BI525" s="32"/>
      <c r="BJ525" s="32"/>
      <c r="BK525" s="32"/>
      <c r="BL525" s="32"/>
      <c r="BM525" s="32"/>
      <c r="BN525" s="32"/>
      <c r="BO525" s="32"/>
      <c r="BP525" s="32"/>
      <c r="BQ525" s="32"/>
      <c r="BR525" s="32"/>
      <c r="BS525" s="32"/>
      <c r="BT525" s="32"/>
      <c r="BU525" s="32"/>
      <c r="BV525" s="32"/>
      <c r="BW525" s="32"/>
      <c r="BX525" s="32"/>
      <c r="BY525" s="32"/>
      <c r="BZ525" s="32"/>
      <c r="CA525" s="32"/>
      <c r="CB525" s="32"/>
      <c r="CC525" s="32"/>
      <c r="CD525" s="32"/>
      <c r="CE525" s="32"/>
      <c r="CF525" s="32"/>
      <c r="CG525" s="32"/>
      <c r="CH525" s="32"/>
      <c r="CI525" s="32"/>
      <c r="CJ525" s="32"/>
      <c r="CK525" s="32"/>
      <c r="CL525" s="32"/>
      <c r="CM525" s="32"/>
      <c r="CN525" s="32"/>
      <c r="CO525" s="32"/>
      <c r="CP525" s="32"/>
      <c r="CQ525" s="32"/>
      <c r="CR525" s="32"/>
      <c r="CS525" s="32"/>
      <c r="CT525" s="32"/>
      <c r="CU525" s="32"/>
      <c r="CV525" s="32"/>
      <c r="CW525" s="32"/>
      <c r="CX525" s="32"/>
      <c r="CY525" s="32"/>
      <c r="CZ525" s="32"/>
      <c r="DA525" s="32"/>
      <c r="DB525" s="32"/>
      <c r="DC525" s="32"/>
      <c r="DD525" s="32"/>
      <c r="DE525" s="32"/>
      <c r="DF525" s="32"/>
      <c r="DG525" s="32"/>
      <c r="DH525" s="32"/>
      <c r="DI525" s="32"/>
      <c r="DJ525" s="32"/>
      <c r="DK525" s="32"/>
      <c r="DL525" s="32"/>
      <c r="DM525" s="32"/>
      <c r="DN525" s="32"/>
      <c r="DO525" s="32"/>
      <c r="DP525" s="32"/>
      <c r="DQ525" s="32"/>
      <c r="DR525" s="32"/>
      <c r="DS525" s="32"/>
      <c r="DT525" s="32"/>
      <c r="DU525" s="32"/>
      <c r="DV525" s="32"/>
      <c r="DW525" s="32"/>
      <c r="DX525" s="32"/>
      <c r="DY525" s="32"/>
      <c r="DZ525" s="32"/>
      <c r="EA525" s="32"/>
      <c r="EB525" s="32"/>
      <c r="EC525" s="32"/>
    </row>
    <row r="526" spans="1:133" s="13" customFormat="1" ht="94.5" x14ac:dyDescent="0.25">
      <c r="A526" s="129" t="s">
        <v>999</v>
      </c>
      <c r="B526" s="134" t="s">
        <v>1040</v>
      </c>
      <c r="C526" s="127" t="s">
        <v>1059</v>
      </c>
      <c r="D526" s="135" t="s">
        <v>1060</v>
      </c>
      <c r="E526" s="135">
        <v>21.7</v>
      </c>
      <c r="F526" s="135">
        <v>50</v>
      </c>
      <c r="G526" s="110" t="s">
        <v>1061</v>
      </c>
      <c r="H526" s="110" t="s">
        <v>1653</v>
      </c>
      <c r="I526" s="103" t="s">
        <v>1063</v>
      </c>
      <c r="J526" s="103" t="s">
        <v>1683</v>
      </c>
      <c r="K526" s="56">
        <v>4</v>
      </c>
      <c r="L526" s="86">
        <v>10</v>
      </c>
      <c r="M526" s="103" t="s">
        <v>1140</v>
      </c>
      <c r="N526" s="56" t="s">
        <v>164</v>
      </c>
      <c r="O526" s="54" t="s">
        <v>204</v>
      </c>
      <c r="P526" s="58" t="s">
        <v>39</v>
      </c>
      <c r="Q526" s="171" t="s">
        <v>1680</v>
      </c>
      <c r="R526" s="182">
        <v>1</v>
      </c>
      <c r="S526" s="178">
        <v>3</v>
      </c>
      <c r="T526" s="178">
        <v>3</v>
      </c>
      <c r="U526" s="183">
        <v>3</v>
      </c>
      <c r="V526" s="59">
        <v>1888946263</v>
      </c>
      <c r="W526" s="60"/>
      <c r="X526" s="60"/>
      <c r="Y526" s="60"/>
      <c r="Z526" s="60"/>
      <c r="AA526" s="61"/>
      <c r="AB526" s="62">
        <v>250000000</v>
      </c>
      <c r="AC526" s="60"/>
      <c r="AD526" s="60"/>
      <c r="AE526" s="60"/>
      <c r="AF526" s="60"/>
      <c r="AG526" s="60"/>
      <c r="AH526" s="63"/>
      <c r="AI526" s="62">
        <v>250000000</v>
      </c>
      <c r="AJ526" s="60"/>
      <c r="AK526" s="60"/>
      <c r="AL526" s="60"/>
      <c r="AM526" s="60"/>
      <c r="AN526" s="60"/>
      <c r="AO526" s="63"/>
      <c r="AP526" s="62">
        <v>250000000</v>
      </c>
      <c r="AQ526" s="60"/>
      <c r="AR526" s="60"/>
      <c r="AS526" s="60"/>
      <c r="AT526" s="60"/>
      <c r="AU526" s="60"/>
      <c r="AV526" s="64"/>
      <c r="AW526" s="55">
        <f t="shared" si="46"/>
        <v>1888946263</v>
      </c>
      <c r="AX526" s="55">
        <f t="shared" si="47"/>
        <v>250000000</v>
      </c>
      <c r="AY526" s="55">
        <f t="shared" si="48"/>
        <v>250000000</v>
      </c>
      <c r="AZ526" s="55">
        <f t="shared" si="49"/>
        <v>250000000</v>
      </c>
      <c r="BA526" s="55">
        <f t="shared" si="50"/>
        <v>2638946263</v>
      </c>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4"/>
      <c r="CF526" s="4"/>
      <c r="CG526" s="4"/>
      <c r="CH526" s="4"/>
      <c r="CI526" s="4"/>
      <c r="CJ526" s="4"/>
      <c r="CK526" s="4"/>
      <c r="CL526" s="4"/>
      <c r="CM526" s="4"/>
      <c r="CN526" s="4"/>
      <c r="CO526" s="4"/>
      <c r="CP526" s="4"/>
      <c r="CQ526" s="4"/>
      <c r="CR526" s="4"/>
      <c r="CS526" s="4"/>
      <c r="CT526" s="4"/>
      <c r="CU526" s="4"/>
      <c r="CV526" s="4"/>
      <c r="CW526" s="4"/>
      <c r="CX526" s="4"/>
      <c r="CY526" s="4"/>
      <c r="CZ526" s="4"/>
      <c r="DA526" s="4"/>
      <c r="DB526" s="4"/>
      <c r="DC526" s="4"/>
      <c r="DD526" s="4"/>
      <c r="DE526" s="4"/>
      <c r="DF526" s="4"/>
      <c r="DG526" s="4"/>
      <c r="DH526" s="4"/>
      <c r="DI526" s="4"/>
      <c r="DJ526" s="4"/>
      <c r="DK526" s="4"/>
      <c r="DL526" s="4"/>
      <c r="DM526" s="4"/>
      <c r="DN526" s="4"/>
      <c r="DO526" s="4"/>
      <c r="DP526" s="4"/>
      <c r="DQ526" s="4"/>
      <c r="DR526" s="4"/>
      <c r="DS526" s="4"/>
      <c r="DT526" s="4"/>
      <c r="DU526" s="4"/>
      <c r="DV526" s="4"/>
      <c r="DW526" s="4"/>
      <c r="DX526" s="4"/>
      <c r="DY526" s="4"/>
      <c r="DZ526" s="4"/>
      <c r="EA526" s="4"/>
      <c r="EB526" s="4"/>
      <c r="EC526" s="4"/>
    </row>
    <row r="527" spans="1:133" s="13" customFormat="1" ht="63" x14ac:dyDescent="0.25">
      <c r="A527" s="129" t="s">
        <v>999</v>
      </c>
      <c r="B527" s="134" t="s">
        <v>1040</v>
      </c>
      <c r="C527" s="127" t="s">
        <v>1059</v>
      </c>
      <c r="D527" s="135" t="s">
        <v>1060</v>
      </c>
      <c r="E527" s="135">
        <v>21.7</v>
      </c>
      <c r="F527" s="135">
        <v>50</v>
      </c>
      <c r="G527" s="110" t="s">
        <v>1061</v>
      </c>
      <c r="H527" s="110" t="s">
        <v>1654</v>
      </c>
      <c r="I527" s="103" t="s">
        <v>1064</v>
      </c>
      <c r="J527" s="103" t="s">
        <v>1682</v>
      </c>
      <c r="K527" s="56" t="s">
        <v>90</v>
      </c>
      <c r="L527" s="179">
        <v>100</v>
      </c>
      <c r="M527" s="103" t="s">
        <v>1140</v>
      </c>
      <c r="N527" s="56" t="s">
        <v>164</v>
      </c>
      <c r="O527" s="54" t="s">
        <v>204</v>
      </c>
      <c r="P527" s="58" t="s">
        <v>39</v>
      </c>
      <c r="Q527" s="171" t="s">
        <v>1680</v>
      </c>
      <c r="R527" s="182">
        <v>0</v>
      </c>
      <c r="S527" s="178">
        <v>30</v>
      </c>
      <c r="T527" s="178">
        <v>50</v>
      </c>
      <c r="U527" s="183">
        <v>20</v>
      </c>
      <c r="V527" s="59"/>
      <c r="W527" s="60"/>
      <c r="X527" s="60"/>
      <c r="Y527" s="60"/>
      <c r="Z527" s="60"/>
      <c r="AA527" s="61"/>
      <c r="AB527" s="62">
        <v>135000000</v>
      </c>
      <c r="AC527" s="60"/>
      <c r="AD527" s="60"/>
      <c r="AE527" s="60"/>
      <c r="AF527" s="60"/>
      <c r="AG527" s="60"/>
      <c r="AH527" s="63"/>
      <c r="AI527" s="62">
        <v>225000000</v>
      </c>
      <c r="AJ527" s="60"/>
      <c r="AK527" s="60"/>
      <c r="AL527" s="60"/>
      <c r="AM527" s="60"/>
      <c r="AN527" s="60"/>
      <c r="AO527" s="63"/>
      <c r="AP527" s="62">
        <v>90000000</v>
      </c>
      <c r="AQ527" s="60"/>
      <c r="AR527" s="60"/>
      <c r="AS527" s="60"/>
      <c r="AT527" s="60"/>
      <c r="AU527" s="60"/>
      <c r="AV527" s="64"/>
      <c r="AW527" s="55">
        <f t="shared" si="46"/>
        <v>0</v>
      </c>
      <c r="AX527" s="55">
        <f t="shared" si="47"/>
        <v>135000000</v>
      </c>
      <c r="AY527" s="55">
        <f t="shared" si="48"/>
        <v>225000000</v>
      </c>
      <c r="AZ527" s="55">
        <f t="shared" si="49"/>
        <v>90000000</v>
      </c>
      <c r="BA527" s="55">
        <f t="shared" si="50"/>
        <v>450000000</v>
      </c>
      <c r="BB527" s="32"/>
      <c r="BC527" s="32"/>
      <c r="BD527" s="32"/>
      <c r="BE527" s="32"/>
      <c r="BF527" s="32"/>
      <c r="BG527" s="32"/>
      <c r="BH527" s="32"/>
      <c r="BI527" s="32"/>
      <c r="BJ527" s="32"/>
      <c r="BK527" s="32"/>
      <c r="BL527" s="32"/>
      <c r="BM527" s="32"/>
      <c r="BN527" s="32"/>
      <c r="BO527" s="32"/>
      <c r="BP527" s="32"/>
      <c r="BQ527" s="32"/>
      <c r="BR527" s="32"/>
      <c r="BS527" s="32"/>
      <c r="BT527" s="32"/>
      <c r="BU527" s="32"/>
      <c r="BV527" s="32"/>
      <c r="BW527" s="32"/>
      <c r="BX527" s="32"/>
      <c r="BY527" s="32"/>
      <c r="BZ527" s="32"/>
      <c r="CA527" s="32"/>
      <c r="CB527" s="32"/>
      <c r="CC527" s="32"/>
      <c r="CD527" s="32"/>
      <c r="CE527" s="32"/>
      <c r="CF527" s="32"/>
      <c r="CG527" s="32"/>
      <c r="CH527" s="32"/>
      <c r="CI527" s="32"/>
      <c r="CJ527" s="32"/>
      <c r="CK527" s="32"/>
      <c r="CL527" s="32"/>
      <c r="CM527" s="32"/>
      <c r="CN527" s="32"/>
      <c r="CO527" s="32"/>
      <c r="CP527" s="32"/>
      <c r="CQ527" s="32"/>
      <c r="CR527" s="32"/>
      <c r="CS527" s="32"/>
      <c r="CT527" s="32"/>
      <c r="CU527" s="32"/>
      <c r="CV527" s="32"/>
      <c r="CW527" s="32"/>
      <c r="CX527" s="32"/>
      <c r="CY527" s="32"/>
      <c r="CZ527" s="32"/>
      <c r="DA527" s="32"/>
      <c r="DB527" s="32"/>
      <c r="DC527" s="32"/>
      <c r="DD527" s="32"/>
      <c r="DE527" s="32"/>
      <c r="DF527" s="32"/>
      <c r="DG527" s="32"/>
      <c r="DH527" s="32"/>
      <c r="DI527" s="32"/>
      <c r="DJ527" s="32"/>
      <c r="DK527" s="32"/>
      <c r="DL527" s="32"/>
      <c r="DM527" s="32"/>
      <c r="DN527" s="32"/>
      <c r="DO527" s="32"/>
      <c r="DP527" s="32"/>
      <c r="DQ527" s="32"/>
      <c r="DR527" s="32"/>
      <c r="DS527" s="32"/>
      <c r="DT527" s="32"/>
      <c r="DU527" s="32"/>
      <c r="DV527" s="32"/>
      <c r="DW527" s="32"/>
      <c r="DX527" s="32"/>
      <c r="DY527" s="32"/>
      <c r="DZ527" s="32"/>
      <c r="EA527" s="32"/>
      <c r="EB527" s="32"/>
      <c r="EC527" s="32"/>
    </row>
    <row r="528" spans="1:133" s="13" customFormat="1" ht="63" x14ac:dyDescent="0.25">
      <c r="A528" s="129" t="s">
        <v>999</v>
      </c>
      <c r="B528" s="134" t="s">
        <v>1040</v>
      </c>
      <c r="C528" s="127" t="s">
        <v>1059</v>
      </c>
      <c r="D528" s="135" t="s">
        <v>1060</v>
      </c>
      <c r="E528" s="135">
        <v>21.7</v>
      </c>
      <c r="F528" s="135">
        <v>50</v>
      </c>
      <c r="G528" s="110" t="s">
        <v>1061</v>
      </c>
      <c r="H528" s="110" t="s">
        <v>1655</v>
      </c>
      <c r="I528" s="103" t="s">
        <v>1065</v>
      </c>
      <c r="J528" s="103" t="s">
        <v>1682</v>
      </c>
      <c r="K528" s="56" t="s">
        <v>90</v>
      </c>
      <c r="L528" s="179">
        <v>100</v>
      </c>
      <c r="M528" s="103" t="s">
        <v>1140</v>
      </c>
      <c r="N528" s="56" t="s">
        <v>164</v>
      </c>
      <c r="O528" s="54" t="s">
        <v>204</v>
      </c>
      <c r="P528" s="58" t="s">
        <v>39</v>
      </c>
      <c r="Q528" s="171" t="s">
        <v>1680</v>
      </c>
      <c r="R528" s="182">
        <v>0</v>
      </c>
      <c r="S528" s="178">
        <v>30</v>
      </c>
      <c r="T528" s="178">
        <v>50</v>
      </c>
      <c r="U528" s="183">
        <v>20</v>
      </c>
      <c r="V528" s="59"/>
      <c r="W528" s="60"/>
      <c r="X528" s="60"/>
      <c r="Y528" s="60"/>
      <c r="Z528" s="60"/>
      <c r="AA528" s="61"/>
      <c r="AB528" s="62">
        <v>120000000</v>
      </c>
      <c r="AC528" s="60"/>
      <c r="AD528" s="60"/>
      <c r="AE528" s="60"/>
      <c r="AF528" s="60"/>
      <c r="AG528" s="60"/>
      <c r="AH528" s="63"/>
      <c r="AI528" s="62">
        <v>200000000</v>
      </c>
      <c r="AJ528" s="60"/>
      <c r="AK528" s="60"/>
      <c r="AL528" s="60"/>
      <c r="AM528" s="60"/>
      <c r="AN528" s="60"/>
      <c r="AO528" s="63"/>
      <c r="AP528" s="62">
        <v>80000000</v>
      </c>
      <c r="AQ528" s="60"/>
      <c r="AR528" s="60"/>
      <c r="AS528" s="60"/>
      <c r="AT528" s="60"/>
      <c r="AU528" s="60"/>
      <c r="AV528" s="64"/>
      <c r="AW528" s="55">
        <f t="shared" si="46"/>
        <v>0</v>
      </c>
      <c r="AX528" s="55">
        <f t="shared" si="47"/>
        <v>120000000</v>
      </c>
      <c r="AY528" s="55">
        <f t="shared" si="48"/>
        <v>200000000</v>
      </c>
      <c r="AZ528" s="55">
        <f t="shared" si="49"/>
        <v>80000000</v>
      </c>
      <c r="BA528" s="55">
        <f t="shared" si="50"/>
        <v>400000000</v>
      </c>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4"/>
      <c r="CF528" s="4"/>
      <c r="CG528" s="4"/>
      <c r="CH528" s="4"/>
      <c r="CI528" s="4"/>
      <c r="CJ528" s="4"/>
      <c r="CK528" s="4"/>
      <c r="CL528" s="4"/>
      <c r="CM528" s="4"/>
      <c r="CN528" s="4"/>
      <c r="CO528" s="4"/>
      <c r="CP528" s="4"/>
      <c r="CQ528" s="4"/>
      <c r="CR528" s="4"/>
      <c r="CS528" s="4"/>
      <c r="CT528" s="4"/>
      <c r="CU528" s="4"/>
      <c r="CV528" s="4"/>
      <c r="CW528" s="4"/>
      <c r="CX528" s="4"/>
      <c r="CY528" s="4"/>
      <c r="CZ528" s="4"/>
      <c r="DA528" s="4"/>
      <c r="DB528" s="4"/>
      <c r="DC528" s="4"/>
      <c r="DD528" s="4"/>
      <c r="DE528" s="4"/>
      <c r="DF528" s="4"/>
      <c r="DG528" s="4"/>
      <c r="DH528" s="4"/>
      <c r="DI528" s="4"/>
      <c r="DJ528" s="4"/>
      <c r="DK528" s="4"/>
      <c r="DL528" s="4"/>
      <c r="DM528" s="4"/>
      <c r="DN528" s="4"/>
      <c r="DO528" s="4"/>
      <c r="DP528" s="4"/>
      <c r="DQ528" s="4"/>
      <c r="DR528" s="4"/>
      <c r="DS528" s="4"/>
      <c r="DT528" s="4"/>
      <c r="DU528" s="4"/>
      <c r="DV528" s="4"/>
      <c r="DW528" s="4"/>
      <c r="DX528" s="4"/>
      <c r="DY528" s="4"/>
      <c r="DZ528" s="4"/>
      <c r="EA528" s="4"/>
      <c r="EB528" s="4"/>
      <c r="EC528" s="4"/>
    </row>
    <row r="529" spans="1:133" s="13" customFormat="1" ht="110.25" x14ac:dyDescent="0.25">
      <c r="A529" s="129" t="s">
        <v>999</v>
      </c>
      <c r="B529" s="134" t="s">
        <v>1040</v>
      </c>
      <c r="C529" s="127" t="s">
        <v>1059</v>
      </c>
      <c r="D529" s="135" t="s">
        <v>1060</v>
      </c>
      <c r="E529" s="135">
        <v>21.7</v>
      </c>
      <c r="F529" s="135">
        <v>50</v>
      </c>
      <c r="G529" s="103" t="s">
        <v>1066</v>
      </c>
      <c r="H529" s="103" t="s">
        <v>1656</v>
      </c>
      <c r="I529" s="103" t="s">
        <v>1067</v>
      </c>
      <c r="J529" s="103" t="s">
        <v>1683</v>
      </c>
      <c r="K529" s="56">
        <v>0</v>
      </c>
      <c r="L529" s="86">
        <v>6</v>
      </c>
      <c r="M529" s="98" t="s">
        <v>1013</v>
      </c>
      <c r="N529" s="56" t="s">
        <v>164</v>
      </c>
      <c r="O529" s="54" t="s">
        <v>204</v>
      </c>
      <c r="P529" s="58" t="s">
        <v>39</v>
      </c>
      <c r="Q529" s="171" t="s">
        <v>1680</v>
      </c>
      <c r="R529" s="182">
        <v>0</v>
      </c>
      <c r="S529" s="178">
        <v>1</v>
      </c>
      <c r="T529" s="178">
        <v>3</v>
      </c>
      <c r="U529" s="183">
        <v>2</v>
      </c>
      <c r="V529" s="59"/>
      <c r="W529" s="60"/>
      <c r="X529" s="60"/>
      <c r="Y529" s="60"/>
      <c r="Z529" s="60"/>
      <c r="AA529" s="61"/>
      <c r="AB529" s="62">
        <v>50000000</v>
      </c>
      <c r="AC529" s="60"/>
      <c r="AD529" s="60"/>
      <c r="AE529" s="60"/>
      <c r="AF529" s="60"/>
      <c r="AG529" s="60"/>
      <c r="AH529" s="63"/>
      <c r="AI529" s="62">
        <v>200000000</v>
      </c>
      <c r="AJ529" s="60"/>
      <c r="AK529" s="60"/>
      <c r="AL529" s="60"/>
      <c r="AM529" s="60"/>
      <c r="AN529" s="60"/>
      <c r="AO529" s="63"/>
      <c r="AP529" s="62">
        <v>50000000</v>
      </c>
      <c r="AQ529" s="60"/>
      <c r="AR529" s="60"/>
      <c r="AS529" s="60"/>
      <c r="AT529" s="60"/>
      <c r="AU529" s="60"/>
      <c r="AV529" s="64"/>
      <c r="AW529" s="55">
        <f t="shared" si="46"/>
        <v>0</v>
      </c>
      <c r="AX529" s="55">
        <f t="shared" si="47"/>
        <v>50000000</v>
      </c>
      <c r="AY529" s="55">
        <f t="shared" si="48"/>
        <v>200000000</v>
      </c>
      <c r="AZ529" s="55">
        <f t="shared" si="49"/>
        <v>50000000</v>
      </c>
      <c r="BA529" s="55">
        <f t="shared" si="50"/>
        <v>300000000</v>
      </c>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4"/>
      <c r="CF529" s="4"/>
      <c r="CG529" s="4"/>
      <c r="CH529" s="4"/>
      <c r="CI529" s="4"/>
      <c r="CJ529" s="4"/>
      <c r="CK529" s="4"/>
      <c r="CL529" s="4"/>
      <c r="CM529" s="4"/>
      <c r="CN529" s="4"/>
      <c r="CO529" s="4"/>
      <c r="CP529" s="4"/>
      <c r="CQ529" s="4"/>
      <c r="CR529" s="4"/>
      <c r="CS529" s="4"/>
      <c r="CT529" s="4"/>
      <c r="CU529" s="4"/>
      <c r="CV529" s="4"/>
      <c r="CW529" s="4"/>
      <c r="CX529" s="4"/>
      <c r="CY529" s="4"/>
      <c r="CZ529" s="4"/>
      <c r="DA529" s="4"/>
      <c r="DB529" s="4"/>
      <c r="DC529" s="4"/>
      <c r="DD529" s="4"/>
      <c r="DE529" s="4"/>
      <c r="DF529" s="4"/>
      <c r="DG529" s="4"/>
      <c r="DH529" s="4"/>
      <c r="DI529" s="4"/>
      <c r="DJ529" s="4"/>
      <c r="DK529" s="4"/>
      <c r="DL529" s="4"/>
      <c r="DM529" s="4"/>
      <c r="DN529" s="4"/>
      <c r="DO529" s="4"/>
      <c r="DP529" s="4"/>
      <c r="DQ529" s="4"/>
      <c r="DR529" s="4"/>
      <c r="DS529" s="4"/>
      <c r="DT529" s="4"/>
      <c r="DU529" s="4"/>
      <c r="DV529" s="4"/>
      <c r="DW529" s="4"/>
      <c r="DX529" s="4"/>
      <c r="DY529" s="4"/>
      <c r="DZ529" s="4"/>
      <c r="EA529" s="4"/>
      <c r="EB529" s="4"/>
      <c r="EC529" s="4"/>
    </row>
    <row r="530" spans="1:133" s="13" customFormat="1" ht="141.75" x14ac:dyDescent="0.25">
      <c r="A530" s="129" t="s">
        <v>999</v>
      </c>
      <c r="B530" s="134" t="s">
        <v>1040</v>
      </c>
      <c r="C530" s="127" t="s">
        <v>1059</v>
      </c>
      <c r="D530" s="135" t="s">
        <v>1060</v>
      </c>
      <c r="E530" s="135">
        <v>21.7</v>
      </c>
      <c r="F530" s="135">
        <v>50</v>
      </c>
      <c r="G530" s="110" t="s">
        <v>1068</v>
      </c>
      <c r="H530" s="110" t="s">
        <v>1657</v>
      </c>
      <c r="I530" s="103" t="s">
        <v>1069</v>
      </c>
      <c r="J530" s="103" t="s">
        <v>1682</v>
      </c>
      <c r="K530" s="178">
        <v>0</v>
      </c>
      <c r="L530" s="179">
        <v>100</v>
      </c>
      <c r="M530" s="98" t="s">
        <v>1013</v>
      </c>
      <c r="N530" s="56" t="s">
        <v>164</v>
      </c>
      <c r="O530" s="54" t="s">
        <v>204</v>
      </c>
      <c r="P530" s="58" t="s">
        <v>39</v>
      </c>
      <c r="Q530" s="171" t="s">
        <v>1680</v>
      </c>
      <c r="R530" s="182">
        <v>0</v>
      </c>
      <c r="S530" s="178">
        <v>20</v>
      </c>
      <c r="T530" s="178">
        <v>40</v>
      </c>
      <c r="U530" s="183">
        <v>40</v>
      </c>
      <c r="V530" s="59"/>
      <c r="W530" s="60"/>
      <c r="X530" s="60"/>
      <c r="Y530" s="60"/>
      <c r="Z530" s="60"/>
      <c r="AA530" s="61"/>
      <c r="AB530" s="62">
        <v>1233333000</v>
      </c>
      <c r="AC530" s="60"/>
      <c r="AD530" s="60"/>
      <c r="AE530" s="60"/>
      <c r="AF530" s="60"/>
      <c r="AG530" s="60"/>
      <c r="AH530" s="63"/>
      <c r="AI530" s="62">
        <v>1233333000</v>
      </c>
      <c r="AJ530" s="60"/>
      <c r="AK530" s="60"/>
      <c r="AL530" s="60"/>
      <c r="AM530" s="60"/>
      <c r="AN530" s="60"/>
      <c r="AO530" s="63"/>
      <c r="AP530" s="62">
        <v>1233334000</v>
      </c>
      <c r="AQ530" s="60"/>
      <c r="AR530" s="60"/>
      <c r="AS530" s="60"/>
      <c r="AT530" s="60"/>
      <c r="AU530" s="60"/>
      <c r="AV530" s="64"/>
      <c r="AW530" s="55">
        <f t="shared" si="46"/>
        <v>0</v>
      </c>
      <c r="AX530" s="55">
        <f t="shared" si="47"/>
        <v>1233333000</v>
      </c>
      <c r="AY530" s="55">
        <f t="shared" si="48"/>
        <v>1233333000</v>
      </c>
      <c r="AZ530" s="55">
        <f t="shared" si="49"/>
        <v>1233334000</v>
      </c>
      <c r="BA530" s="55">
        <f t="shared" si="50"/>
        <v>3700000000</v>
      </c>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4"/>
      <c r="CF530" s="4"/>
      <c r="CG530" s="4"/>
      <c r="CH530" s="4"/>
      <c r="CI530" s="4"/>
      <c r="CJ530" s="4"/>
      <c r="CK530" s="4"/>
      <c r="CL530" s="4"/>
      <c r="CM530" s="4"/>
      <c r="CN530" s="4"/>
      <c r="CO530" s="4"/>
      <c r="CP530" s="4"/>
      <c r="CQ530" s="4"/>
      <c r="CR530" s="4"/>
      <c r="CS530" s="4"/>
      <c r="CT530" s="4"/>
      <c r="CU530" s="4"/>
      <c r="CV530" s="4"/>
      <c r="CW530" s="4"/>
      <c r="CX530" s="4"/>
      <c r="CY530" s="4"/>
      <c r="CZ530" s="4"/>
      <c r="DA530" s="4"/>
      <c r="DB530" s="4"/>
      <c r="DC530" s="4"/>
      <c r="DD530" s="4"/>
      <c r="DE530" s="4"/>
      <c r="DF530" s="4"/>
      <c r="DG530" s="4"/>
      <c r="DH530" s="4"/>
      <c r="DI530" s="4"/>
      <c r="DJ530" s="4"/>
      <c r="DK530" s="4"/>
      <c r="DL530" s="4"/>
      <c r="DM530" s="4"/>
      <c r="DN530" s="4"/>
      <c r="DO530" s="4"/>
      <c r="DP530" s="4"/>
      <c r="DQ530" s="4"/>
      <c r="DR530" s="4"/>
      <c r="DS530" s="4"/>
      <c r="DT530" s="4"/>
      <c r="DU530" s="4"/>
      <c r="DV530" s="4"/>
      <c r="DW530" s="4"/>
      <c r="DX530" s="4"/>
      <c r="DY530" s="4"/>
      <c r="DZ530" s="4"/>
      <c r="EA530" s="4"/>
      <c r="EB530" s="4"/>
      <c r="EC530" s="4"/>
    </row>
    <row r="531" spans="1:133" s="13" customFormat="1" ht="78.75" x14ac:dyDescent="0.25">
      <c r="A531" s="129" t="s">
        <v>999</v>
      </c>
      <c r="B531" s="134" t="s">
        <v>1040</v>
      </c>
      <c r="C531" s="127" t="s">
        <v>1059</v>
      </c>
      <c r="D531" s="135" t="s">
        <v>1060</v>
      </c>
      <c r="E531" s="135">
        <v>21.7</v>
      </c>
      <c r="F531" s="135">
        <v>50</v>
      </c>
      <c r="G531" s="110" t="s">
        <v>1068</v>
      </c>
      <c r="H531" s="110" t="s">
        <v>1658</v>
      </c>
      <c r="I531" s="103" t="s">
        <v>1070</v>
      </c>
      <c r="J531" s="103" t="s">
        <v>1683</v>
      </c>
      <c r="K531" s="56">
        <v>0</v>
      </c>
      <c r="L531" s="86">
        <v>8</v>
      </c>
      <c r="M531" s="103" t="s">
        <v>1013</v>
      </c>
      <c r="N531" s="56" t="s">
        <v>164</v>
      </c>
      <c r="O531" s="54" t="s">
        <v>204</v>
      </c>
      <c r="P531" s="58" t="s">
        <v>39</v>
      </c>
      <c r="Q531" s="171" t="s">
        <v>1680</v>
      </c>
      <c r="R531" s="182">
        <v>2</v>
      </c>
      <c r="S531" s="178">
        <v>2</v>
      </c>
      <c r="T531" s="178">
        <v>2</v>
      </c>
      <c r="U531" s="183">
        <v>2</v>
      </c>
      <c r="V531" s="59">
        <v>75000000</v>
      </c>
      <c r="W531" s="60"/>
      <c r="X531" s="60"/>
      <c r="Y531" s="60"/>
      <c r="Z531" s="60"/>
      <c r="AA531" s="61"/>
      <c r="AB531" s="62">
        <v>75000000</v>
      </c>
      <c r="AC531" s="60"/>
      <c r="AD531" s="60"/>
      <c r="AE531" s="60"/>
      <c r="AF531" s="60"/>
      <c r="AG531" s="60"/>
      <c r="AH531" s="63"/>
      <c r="AI531" s="62">
        <v>75000000</v>
      </c>
      <c r="AJ531" s="60"/>
      <c r="AK531" s="60"/>
      <c r="AL531" s="60"/>
      <c r="AM531" s="60"/>
      <c r="AN531" s="60"/>
      <c r="AO531" s="63"/>
      <c r="AP531" s="62">
        <v>75000000</v>
      </c>
      <c r="AQ531" s="60"/>
      <c r="AR531" s="60"/>
      <c r="AS531" s="60"/>
      <c r="AT531" s="60"/>
      <c r="AU531" s="60"/>
      <c r="AV531" s="64"/>
      <c r="AW531" s="55">
        <f t="shared" si="46"/>
        <v>75000000</v>
      </c>
      <c r="AX531" s="55">
        <f t="shared" si="47"/>
        <v>75000000</v>
      </c>
      <c r="AY531" s="55">
        <f t="shared" si="48"/>
        <v>75000000</v>
      </c>
      <c r="AZ531" s="55">
        <f t="shared" si="49"/>
        <v>75000000</v>
      </c>
      <c r="BA531" s="55">
        <f t="shared" si="50"/>
        <v>300000000</v>
      </c>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4"/>
      <c r="CF531" s="4"/>
      <c r="CG531" s="4"/>
      <c r="CH531" s="4"/>
      <c r="CI531" s="4"/>
      <c r="CJ531" s="4"/>
      <c r="CK531" s="4"/>
      <c r="CL531" s="4"/>
      <c r="CM531" s="4"/>
      <c r="CN531" s="4"/>
      <c r="CO531" s="4"/>
      <c r="CP531" s="4"/>
      <c r="CQ531" s="4"/>
      <c r="CR531" s="4"/>
      <c r="CS531" s="4"/>
      <c r="CT531" s="4"/>
      <c r="CU531" s="4"/>
      <c r="CV531" s="4"/>
      <c r="CW531" s="4"/>
      <c r="CX531" s="4"/>
      <c r="CY531" s="4"/>
      <c r="CZ531" s="4"/>
      <c r="DA531" s="4"/>
      <c r="DB531" s="4"/>
      <c r="DC531" s="4"/>
      <c r="DD531" s="4"/>
      <c r="DE531" s="4"/>
      <c r="DF531" s="4"/>
      <c r="DG531" s="4"/>
      <c r="DH531" s="4"/>
      <c r="DI531" s="4"/>
      <c r="DJ531" s="4"/>
      <c r="DK531" s="4"/>
      <c r="DL531" s="4"/>
      <c r="DM531" s="4"/>
      <c r="DN531" s="4"/>
      <c r="DO531" s="4"/>
      <c r="DP531" s="4"/>
      <c r="DQ531" s="4"/>
      <c r="DR531" s="4"/>
      <c r="DS531" s="4"/>
      <c r="DT531" s="4"/>
      <c r="DU531" s="4"/>
      <c r="DV531" s="4"/>
      <c r="DW531" s="4"/>
      <c r="DX531" s="4"/>
      <c r="DY531" s="4"/>
      <c r="DZ531" s="4"/>
      <c r="EA531" s="4"/>
      <c r="EB531" s="4"/>
      <c r="EC531" s="4"/>
    </row>
    <row r="532" spans="1:133" s="13" customFormat="1" ht="94.5" x14ac:dyDescent="0.25">
      <c r="A532" s="129" t="s">
        <v>999</v>
      </c>
      <c r="B532" s="134" t="s">
        <v>1040</v>
      </c>
      <c r="C532" s="127" t="s">
        <v>1071</v>
      </c>
      <c r="D532" s="135" t="s">
        <v>1060</v>
      </c>
      <c r="E532" s="135">
        <v>21.7</v>
      </c>
      <c r="F532" s="135">
        <v>50</v>
      </c>
      <c r="G532" s="110" t="s">
        <v>1072</v>
      </c>
      <c r="H532" s="110" t="s">
        <v>1659</v>
      </c>
      <c r="I532" s="103" t="s">
        <v>1073</v>
      </c>
      <c r="J532" s="103" t="s">
        <v>1682</v>
      </c>
      <c r="K532" s="178">
        <v>0</v>
      </c>
      <c r="L532" s="179">
        <v>100</v>
      </c>
      <c r="M532" s="108" t="s">
        <v>337</v>
      </c>
      <c r="N532" s="56" t="s">
        <v>164</v>
      </c>
      <c r="O532" s="54" t="s">
        <v>1014</v>
      </c>
      <c r="P532" s="58" t="s">
        <v>39</v>
      </c>
      <c r="Q532" s="171" t="s">
        <v>1680</v>
      </c>
      <c r="R532" s="182">
        <v>0</v>
      </c>
      <c r="S532" s="178">
        <v>50</v>
      </c>
      <c r="T532" s="178">
        <v>50</v>
      </c>
      <c r="U532" s="183">
        <v>0</v>
      </c>
      <c r="V532" s="59"/>
      <c r="W532" s="60"/>
      <c r="X532" s="60"/>
      <c r="Y532" s="60"/>
      <c r="Z532" s="60"/>
      <c r="AA532" s="61"/>
      <c r="AB532" s="62">
        <f>394000000/2</f>
        <v>197000000</v>
      </c>
      <c r="AC532" s="60"/>
      <c r="AD532" s="60"/>
      <c r="AE532" s="60"/>
      <c r="AF532" s="60"/>
      <c r="AG532" s="60"/>
      <c r="AH532" s="63"/>
      <c r="AI532" s="62">
        <f>414000000/2</f>
        <v>207000000</v>
      </c>
      <c r="AJ532" s="60"/>
      <c r="AK532" s="60"/>
      <c r="AL532" s="60"/>
      <c r="AM532" s="60"/>
      <c r="AN532" s="60"/>
      <c r="AO532" s="63"/>
      <c r="AP532" s="62"/>
      <c r="AQ532" s="60"/>
      <c r="AR532" s="60"/>
      <c r="AS532" s="60"/>
      <c r="AT532" s="60"/>
      <c r="AU532" s="60"/>
      <c r="AV532" s="64"/>
      <c r="AW532" s="55">
        <f t="shared" si="46"/>
        <v>0</v>
      </c>
      <c r="AX532" s="55">
        <f t="shared" si="47"/>
        <v>197000000</v>
      </c>
      <c r="AY532" s="55">
        <f t="shared" si="48"/>
        <v>207000000</v>
      </c>
      <c r="AZ532" s="55">
        <f t="shared" si="49"/>
        <v>0</v>
      </c>
      <c r="BA532" s="55">
        <f t="shared" si="50"/>
        <v>404000000</v>
      </c>
      <c r="BB532" s="32"/>
      <c r="BC532" s="32"/>
      <c r="BD532" s="32"/>
      <c r="BE532" s="32"/>
      <c r="BF532" s="32"/>
      <c r="BG532" s="32"/>
      <c r="BH532" s="32"/>
      <c r="BI532" s="32"/>
      <c r="BJ532" s="32"/>
      <c r="BK532" s="32"/>
      <c r="BL532" s="32"/>
      <c r="BM532" s="32"/>
      <c r="BN532" s="32"/>
      <c r="BO532" s="32"/>
      <c r="BP532" s="32"/>
      <c r="BQ532" s="32"/>
      <c r="BR532" s="32"/>
      <c r="BS532" s="32"/>
      <c r="BT532" s="32"/>
      <c r="BU532" s="32"/>
      <c r="BV532" s="32"/>
      <c r="BW532" s="32"/>
      <c r="BX532" s="32"/>
      <c r="BY532" s="32"/>
      <c r="BZ532" s="32"/>
      <c r="CA532" s="32"/>
      <c r="CB532" s="32"/>
      <c r="CC532" s="32"/>
      <c r="CD532" s="32"/>
      <c r="CE532" s="32"/>
      <c r="CF532" s="32"/>
      <c r="CG532" s="32"/>
      <c r="CH532" s="32"/>
      <c r="CI532" s="32"/>
      <c r="CJ532" s="32"/>
      <c r="CK532" s="32"/>
      <c r="CL532" s="32"/>
      <c r="CM532" s="32"/>
      <c r="CN532" s="32"/>
      <c r="CO532" s="32"/>
      <c r="CP532" s="32"/>
      <c r="CQ532" s="32"/>
      <c r="CR532" s="32"/>
      <c r="CS532" s="32"/>
      <c r="CT532" s="32"/>
      <c r="CU532" s="32"/>
      <c r="CV532" s="32"/>
      <c r="CW532" s="32"/>
      <c r="CX532" s="32"/>
      <c r="CY532" s="32"/>
      <c r="CZ532" s="32"/>
      <c r="DA532" s="32"/>
      <c r="DB532" s="32"/>
      <c r="DC532" s="32"/>
      <c r="DD532" s="32"/>
      <c r="DE532" s="32"/>
      <c r="DF532" s="32"/>
      <c r="DG532" s="32"/>
      <c r="DH532" s="32"/>
      <c r="DI532" s="32"/>
      <c r="DJ532" s="32"/>
      <c r="DK532" s="32"/>
      <c r="DL532" s="32"/>
      <c r="DM532" s="32"/>
      <c r="DN532" s="32"/>
      <c r="DO532" s="32"/>
      <c r="DP532" s="32"/>
      <c r="DQ532" s="32"/>
      <c r="DR532" s="32"/>
      <c r="DS532" s="32"/>
      <c r="DT532" s="32"/>
      <c r="DU532" s="32"/>
      <c r="DV532" s="32"/>
      <c r="DW532" s="32"/>
      <c r="DX532" s="32"/>
      <c r="DY532" s="32"/>
      <c r="DZ532" s="32"/>
      <c r="EA532" s="32"/>
      <c r="EB532" s="32"/>
      <c r="EC532" s="32"/>
    </row>
    <row r="533" spans="1:133" s="13" customFormat="1" ht="63" x14ac:dyDescent="0.25">
      <c r="A533" s="129" t="s">
        <v>999</v>
      </c>
      <c r="B533" s="134" t="s">
        <v>1040</v>
      </c>
      <c r="C533" s="127" t="s">
        <v>1071</v>
      </c>
      <c r="D533" s="135" t="s">
        <v>1060</v>
      </c>
      <c r="E533" s="135">
        <v>21.7</v>
      </c>
      <c r="F533" s="135">
        <v>50</v>
      </c>
      <c r="G533" s="110" t="s">
        <v>1072</v>
      </c>
      <c r="H533" s="110" t="s">
        <v>1660</v>
      </c>
      <c r="I533" s="103" t="s">
        <v>1074</v>
      </c>
      <c r="J533" s="103" t="s">
        <v>1682</v>
      </c>
      <c r="K533" s="178">
        <v>100</v>
      </c>
      <c r="L533" s="179">
        <v>100</v>
      </c>
      <c r="M533" s="108" t="s">
        <v>337</v>
      </c>
      <c r="N533" s="56" t="s">
        <v>164</v>
      </c>
      <c r="O533" s="54" t="s">
        <v>1014</v>
      </c>
      <c r="P533" s="58" t="s">
        <v>42</v>
      </c>
      <c r="Q533" s="54" t="s">
        <v>1679</v>
      </c>
      <c r="R533" s="182">
        <v>100</v>
      </c>
      <c r="S533" s="178">
        <v>100</v>
      </c>
      <c r="T533" s="178">
        <v>100</v>
      </c>
      <c r="U533" s="183">
        <v>100</v>
      </c>
      <c r="V533" s="59">
        <v>375000000</v>
      </c>
      <c r="W533" s="60"/>
      <c r="X533" s="60"/>
      <c r="Y533" s="60"/>
      <c r="Z533" s="60"/>
      <c r="AA533" s="61"/>
      <c r="AB533" s="62">
        <f>394000000/2</f>
        <v>197000000</v>
      </c>
      <c r="AC533" s="60"/>
      <c r="AD533" s="60"/>
      <c r="AE533" s="60"/>
      <c r="AF533" s="60"/>
      <c r="AG533" s="60"/>
      <c r="AH533" s="63"/>
      <c r="AI533" s="62">
        <f>414000000/2</f>
        <v>207000000</v>
      </c>
      <c r="AJ533" s="60"/>
      <c r="AK533" s="60"/>
      <c r="AL533" s="60"/>
      <c r="AM533" s="60"/>
      <c r="AN533" s="60"/>
      <c r="AO533" s="63"/>
      <c r="AP533" s="62">
        <v>435000000</v>
      </c>
      <c r="AQ533" s="60"/>
      <c r="AR533" s="60"/>
      <c r="AS533" s="60"/>
      <c r="AT533" s="60"/>
      <c r="AU533" s="60"/>
      <c r="AV533" s="64"/>
      <c r="AW533" s="55">
        <f t="shared" si="46"/>
        <v>375000000</v>
      </c>
      <c r="AX533" s="55">
        <f t="shared" si="47"/>
        <v>197000000</v>
      </c>
      <c r="AY533" s="55">
        <f t="shared" si="48"/>
        <v>207000000</v>
      </c>
      <c r="AZ533" s="55">
        <f t="shared" si="49"/>
        <v>435000000</v>
      </c>
      <c r="BA533" s="55">
        <f t="shared" si="50"/>
        <v>1214000000</v>
      </c>
      <c r="BB533" s="32"/>
      <c r="BC533" s="32"/>
      <c r="BD533" s="32"/>
      <c r="BE533" s="32"/>
      <c r="BF533" s="32"/>
      <c r="BG533" s="32"/>
      <c r="BH533" s="32"/>
      <c r="BI533" s="32"/>
      <c r="BJ533" s="32"/>
      <c r="BK533" s="32"/>
      <c r="BL533" s="32"/>
      <c r="BM533" s="32"/>
      <c r="BN533" s="32"/>
      <c r="BO533" s="32"/>
      <c r="BP533" s="32"/>
      <c r="BQ533" s="32"/>
      <c r="BR533" s="32"/>
      <c r="BS533" s="32"/>
      <c r="BT533" s="32"/>
      <c r="BU533" s="32"/>
      <c r="BV533" s="32"/>
      <c r="BW533" s="32"/>
      <c r="BX533" s="32"/>
      <c r="BY533" s="32"/>
      <c r="BZ533" s="32"/>
      <c r="CA533" s="32"/>
      <c r="CB533" s="32"/>
      <c r="CC533" s="32"/>
      <c r="CD533" s="32"/>
      <c r="CE533" s="32"/>
      <c r="CF533" s="32"/>
      <c r="CG533" s="32"/>
      <c r="CH533" s="32"/>
      <c r="CI533" s="32"/>
      <c r="CJ533" s="32"/>
      <c r="CK533" s="32"/>
      <c r="CL533" s="32"/>
      <c r="CM533" s="32"/>
      <c r="CN533" s="32"/>
      <c r="CO533" s="32"/>
      <c r="CP533" s="32"/>
      <c r="CQ533" s="32"/>
      <c r="CR533" s="32"/>
      <c r="CS533" s="32"/>
      <c r="CT533" s="32"/>
      <c r="CU533" s="32"/>
      <c r="CV533" s="32"/>
      <c r="CW533" s="32"/>
      <c r="CX533" s="32"/>
      <c r="CY533" s="32"/>
      <c r="CZ533" s="32"/>
      <c r="DA533" s="32"/>
      <c r="DB533" s="32"/>
      <c r="DC533" s="32"/>
      <c r="DD533" s="32"/>
      <c r="DE533" s="32"/>
      <c r="DF533" s="32"/>
      <c r="DG533" s="32"/>
      <c r="DH533" s="32"/>
      <c r="DI533" s="32"/>
      <c r="DJ533" s="32"/>
      <c r="DK533" s="32"/>
      <c r="DL533" s="32"/>
      <c r="DM533" s="32"/>
      <c r="DN533" s="32"/>
      <c r="DO533" s="32"/>
      <c r="DP533" s="32"/>
      <c r="DQ533" s="32"/>
      <c r="DR533" s="32"/>
      <c r="DS533" s="32"/>
      <c r="DT533" s="32"/>
      <c r="DU533" s="32"/>
      <c r="DV533" s="32"/>
      <c r="DW533" s="32"/>
      <c r="DX533" s="32"/>
      <c r="DY533" s="32"/>
      <c r="DZ533" s="32"/>
      <c r="EA533" s="32"/>
      <c r="EB533" s="32"/>
      <c r="EC533" s="32"/>
    </row>
    <row r="534" spans="1:133" s="13" customFormat="1" ht="94.5" x14ac:dyDescent="0.25">
      <c r="A534" s="129" t="s">
        <v>999</v>
      </c>
      <c r="B534" s="134" t="s">
        <v>1040</v>
      </c>
      <c r="C534" s="127" t="s">
        <v>1071</v>
      </c>
      <c r="D534" s="135" t="s">
        <v>1060</v>
      </c>
      <c r="E534" s="135">
        <v>21.7</v>
      </c>
      <c r="F534" s="135">
        <v>50</v>
      </c>
      <c r="G534" s="110" t="s">
        <v>1072</v>
      </c>
      <c r="H534" s="110" t="s">
        <v>1661</v>
      </c>
      <c r="I534" s="103" t="s">
        <v>1075</v>
      </c>
      <c r="J534" s="103" t="s">
        <v>1682</v>
      </c>
      <c r="K534" s="178">
        <v>0</v>
      </c>
      <c r="L534" s="179">
        <v>100</v>
      </c>
      <c r="M534" s="103" t="s">
        <v>1013</v>
      </c>
      <c r="N534" s="56" t="s">
        <v>164</v>
      </c>
      <c r="O534" s="54" t="s">
        <v>1014</v>
      </c>
      <c r="P534" s="58" t="s">
        <v>39</v>
      </c>
      <c r="Q534" s="171" t="s">
        <v>1680</v>
      </c>
      <c r="R534" s="182">
        <v>0</v>
      </c>
      <c r="S534" s="178">
        <v>20</v>
      </c>
      <c r="T534" s="178">
        <v>40</v>
      </c>
      <c r="U534" s="183">
        <v>40</v>
      </c>
      <c r="V534" s="59"/>
      <c r="W534" s="60"/>
      <c r="X534" s="60"/>
      <c r="Y534" s="60"/>
      <c r="Z534" s="60"/>
      <c r="AA534" s="61"/>
      <c r="AB534" s="62">
        <v>400000000</v>
      </c>
      <c r="AC534" s="60"/>
      <c r="AD534" s="60"/>
      <c r="AE534" s="60"/>
      <c r="AF534" s="60"/>
      <c r="AG534" s="60"/>
      <c r="AH534" s="63"/>
      <c r="AI534" s="62">
        <v>550000000</v>
      </c>
      <c r="AJ534" s="60"/>
      <c r="AK534" s="60"/>
      <c r="AL534" s="60"/>
      <c r="AM534" s="60"/>
      <c r="AN534" s="60"/>
      <c r="AO534" s="63"/>
      <c r="AP534" s="62">
        <v>550000000</v>
      </c>
      <c r="AQ534" s="60"/>
      <c r="AR534" s="60"/>
      <c r="AS534" s="60"/>
      <c r="AT534" s="60"/>
      <c r="AU534" s="60"/>
      <c r="AV534" s="64"/>
      <c r="AW534" s="55">
        <f t="shared" si="46"/>
        <v>0</v>
      </c>
      <c r="AX534" s="55">
        <f t="shared" si="47"/>
        <v>400000000</v>
      </c>
      <c r="AY534" s="55">
        <f t="shared" si="48"/>
        <v>550000000</v>
      </c>
      <c r="AZ534" s="55">
        <f t="shared" si="49"/>
        <v>550000000</v>
      </c>
      <c r="BA534" s="55">
        <f t="shared" si="50"/>
        <v>1500000000</v>
      </c>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4"/>
      <c r="CF534" s="4"/>
      <c r="CG534" s="4"/>
      <c r="CH534" s="4"/>
      <c r="CI534" s="4"/>
      <c r="CJ534" s="4"/>
      <c r="CK534" s="4"/>
      <c r="CL534" s="4"/>
      <c r="CM534" s="4"/>
      <c r="CN534" s="4"/>
      <c r="CO534" s="4"/>
      <c r="CP534" s="4"/>
      <c r="CQ534" s="4"/>
      <c r="CR534" s="4"/>
      <c r="CS534" s="4"/>
      <c r="CT534" s="4"/>
      <c r="CU534" s="4"/>
      <c r="CV534" s="4"/>
      <c r="CW534" s="4"/>
      <c r="CX534" s="4"/>
      <c r="CY534" s="4"/>
      <c r="CZ534" s="4"/>
      <c r="DA534" s="4"/>
      <c r="DB534" s="4"/>
      <c r="DC534" s="4"/>
      <c r="DD534" s="4"/>
      <c r="DE534" s="4"/>
      <c r="DF534" s="4"/>
      <c r="DG534" s="4"/>
      <c r="DH534" s="4"/>
      <c r="DI534" s="4"/>
      <c r="DJ534" s="4"/>
      <c r="DK534" s="4"/>
      <c r="DL534" s="4"/>
      <c r="DM534" s="4"/>
      <c r="DN534" s="4"/>
      <c r="DO534" s="4"/>
      <c r="DP534" s="4"/>
      <c r="DQ534" s="4"/>
      <c r="DR534" s="4"/>
      <c r="DS534" s="4"/>
      <c r="DT534" s="4"/>
      <c r="DU534" s="4"/>
      <c r="DV534" s="4"/>
      <c r="DW534" s="4"/>
      <c r="DX534" s="4"/>
      <c r="DY534" s="4"/>
      <c r="DZ534" s="4"/>
      <c r="EA534" s="4"/>
      <c r="EB534" s="4"/>
      <c r="EC534" s="4"/>
    </row>
    <row r="535" spans="1:133" s="13" customFormat="1" ht="94.5" x14ac:dyDescent="0.25">
      <c r="A535" s="129" t="s">
        <v>999</v>
      </c>
      <c r="B535" s="134" t="s">
        <v>1040</v>
      </c>
      <c r="C535" s="127" t="s">
        <v>1071</v>
      </c>
      <c r="D535" s="135" t="s">
        <v>1060</v>
      </c>
      <c r="E535" s="135">
        <v>21.7</v>
      </c>
      <c r="F535" s="135">
        <v>50</v>
      </c>
      <c r="G535" s="103" t="s">
        <v>1076</v>
      </c>
      <c r="H535" s="103" t="s">
        <v>1662</v>
      </c>
      <c r="I535" s="103" t="s">
        <v>1077</v>
      </c>
      <c r="J535" s="103" t="s">
        <v>1683</v>
      </c>
      <c r="K535" s="56">
        <v>6</v>
      </c>
      <c r="L535" s="86">
        <v>9</v>
      </c>
      <c r="M535" s="108" t="s">
        <v>337</v>
      </c>
      <c r="N535" s="56" t="s">
        <v>164</v>
      </c>
      <c r="O535" s="54" t="s">
        <v>1014</v>
      </c>
      <c r="P535" s="58" t="s">
        <v>1677</v>
      </c>
      <c r="Q535" s="171" t="s">
        <v>1680</v>
      </c>
      <c r="R535" s="182">
        <v>0</v>
      </c>
      <c r="S535" s="178">
        <v>0</v>
      </c>
      <c r="T535" s="178">
        <v>0</v>
      </c>
      <c r="U535" s="183">
        <v>3</v>
      </c>
      <c r="V535" s="59"/>
      <c r="W535" s="60"/>
      <c r="X535" s="60"/>
      <c r="Y535" s="60"/>
      <c r="Z535" s="60"/>
      <c r="AA535" s="61"/>
      <c r="AB535" s="62"/>
      <c r="AC535" s="60"/>
      <c r="AD535" s="60"/>
      <c r="AE535" s="60"/>
      <c r="AF535" s="60"/>
      <c r="AG535" s="60"/>
      <c r="AH535" s="63"/>
      <c r="AI535" s="62"/>
      <c r="AJ535" s="60"/>
      <c r="AK535" s="60"/>
      <c r="AL535" s="60"/>
      <c r="AM535" s="60"/>
      <c r="AN535" s="60"/>
      <c r="AO535" s="63"/>
      <c r="AP535" s="62">
        <v>260000000</v>
      </c>
      <c r="AQ535" s="60"/>
      <c r="AR535" s="60"/>
      <c r="AS535" s="60"/>
      <c r="AT535" s="60"/>
      <c r="AU535" s="60"/>
      <c r="AV535" s="64"/>
      <c r="AW535" s="55">
        <f t="shared" si="46"/>
        <v>0</v>
      </c>
      <c r="AX535" s="55">
        <f t="shared" si="47"/>
        <v>0</v>
      </c>
      <c r="AY535" s="55">
        <f t="shared" si="48"/>
        <v>0</v>
      </c>
      <c r="AZ535" s="55">
        <f t="shared" si="49"/>
        <v>260000000</v>
      </c>
      <c r="BA535" s="55">
        <f t="shared" si="50"/>
        <v>260000000</v>
      </c>
      <c r="BB535" s="32"/>
      <c r="BC535" s="32"/>
      <c r="BD535" s="32"/>
      <c r="BE535" s="32"/>
      <c r="BF535" s="32"/>
      <c r="BG535" s="32"/>
      <c r="BH535" s="32"/>
      <c r="BI535" s="32"/>
      <c r="BJ535" s="32"/>
      <c r="BK535" s="32"/>
      <c r="BL535" s="32"/>
      <c r="BM535" s="32"/>
      <c r="BN535" s="32"/>
      <c r="BO535" s="32"/>
      <c r="BP535" s="32"/>
      <c r="BQ535" s="32"/>
      <c r="BR535" s="32"/>
      <c r="BS535" s="32"/>
      <c r="BT535" s="32"/>
      <c r="BU535" s="32"/>
      <c r="BV535" s="32"/>
      <c r="BW535" s="32"/>
      <c r="BX535" s="32"/>
      <c r="BY535" s="32"/>
      <c r="BZ535" s="32"/>
      <c r="CA535" s="32"/>
      <c r="CB535" s="32"/>
      <c r="CC535" s="32"/>
      <c r="CD535" s="32"/>
      <c r="CE535" s="32"/>
      <c r="CF535" s="32"/>
      <c r="CG535" s="32"/>
      <c r="CH535" s="32"/>
      <c r="CI535" s="32"/>
      <c r="CJ535" s="32"/>
      <c r="CK535" s="32"/>
      <c r="CL535" s="32"/>
      <c r="CM535" s="32"/>
      <c r="CN535" s="32"/>
      <c r="CO535" s="32"/>
      <c r="CP535" s="32"/>
      <c r="CQ535" s="32"/>
      <c r="CR535" s="32"/>
      <c r="CS535" s="32"/>
      <c r="CT535" s="32"/>
      <c r="CU535" s="32"/>
      <c r="CV535" s="32"/>
      <c r="CW535" s="32"/>
      <c r="CX535" s="32"/>
      <c r="CY535" s="32"/>
      <c r="CZ535" s="32"/>
      <c r="DA535" s="32"/>
      <c r="DB535" s="32"/>
      <c r="DC535" s="32"/>
      <c r="DD535" s="32"/>
      <c r="DE535" s="32"/>
      <c r="DF535" s="32"/>
      <c r="DG535" s="32"/>
      <c r="DH535" s="32"/>
      <c r="DI535" s="32"/>
      <c r="DJ535" s="32"/>
      <c r="DK535" s="32"/>
      <c r="DL535" s="32"/>
      <c r="DM535" s="32"/>
      <c r="DN535" s="32"/>
      <c r="DO535" s="32"/>
      <c r="DP535" s="32"/>
      <c r="DQ535" s="32"/>
      <c r="DR535" s="32"/>
      <c r="DS535" s="32"/>
      <c r="DT535" s="32"/>
      <c r="DU535" s="32"/>
      <c r="DV535" s="32"/>
      <c r="DW535" s="32"/>
      <c r="DX535" s="32"/>
      <c r="DY535" s="32"/>
      <c r="DZ535" s="32"/>
      <c r="EA535" s="32"/>
      <c r="EB535" s="32"/>
      <c r="EC535" s="32"/>
    </row>
    <row r="536" spans="1:133" s="13" customFormat="1" ht="63" x14ac:dyDescent="0.25">
      <c r="A536" s="129" t="s">
        <v>999</v>
      </c>
      <c r="B536" s="134" t="s">
        <v>1040</v>
      </c>
      <c r="C536" s="127" t="s">
        <v>1071</v>
      </c>
      <c r="D536" s="135" t="s">
        <v>1060</v>
      </c>
      <c r="E536" s="135">
        <v>21.7</v>
      </c>
      <c r="F536" s="135">
        <v>50</v>
      </c>
      <c r="G536" s="103" t="s">
        <v>1078</v>
      </c>
      <c r="H536" s="103" t="s">
        <v>1663</v>
      </c>
      <c r="I536" s="103" t="s">
        <v>928</v>
      </c>
      <c r="J536" s="103" t="s">
        <v>1683</v>
      </c>
      <c r="K536" s="56">
        <v>0</v>
      </c>
      <c r="L536" s="86">
        <v>40</v>
      </c>
      <c r="M536" s="108" t="s">
        <v>337</v>
      </c>
      <c r="N536" s="56" t="s">
        <v>164</v>
      </c>
      <c r="O536" s="54" t="s">
        <v>1014</v>
      </c>
      <c r="P536" s="58" t="s">
        <v>39</v>
      </c>
      <c r="Q536" s="171" t="s">
        <v>1680</v>
      </c>
      <c r="R536" s="182">
        <v>0</v>
      </c>
      <c r="S536" s="178">
        <v>10</v>
      </c>
      <c r="T536" s="178">
        <v>15</v>
      </c>
      <c r="U536" s="183">
        <v>15</v>
      </c>
      <c r="V536" s="59"/>
      <c r="W536" s="60"/>
      <c r="X536" s="60"/>
      <c r="Y536" s="60"/>
      <c r="Z536" s="60"/>
      <c r="AA536" s="61"/>
      <c r="AB536" s="62">
        <v>360000000</v>
      </c>
      <c r="AC536" s="60"/>
      <c r="AD536" s="60"/>
      <c r="AE536" s="60"/>
      <c r="AF536" s="60"/>
      <c r="AG536" s="60"/>
      <c r="AH536" s="63"/>
      <c r="AI536" s="62">
        <v>378000000</v>
      </c>
      <c r="AJ536" s="60"/>
      <c r="AK536" s="60"/>
      <c r="AL536" s="60"/>
      <c r="AM536" s="60"/>
      <c r="AN536" s="60"/>
      <c r="AO536" s="63"/>
      <c r="AP536" s="62">
        <v>397000000</v>
      </c>
      <c r="AQ536" s="60"/>
      <c r="AR536" s="60"/>
      <c r="AS536" s="60"/>
      <c r="AT536" s="60"/>
      <c r="AU536" s="60"/>
      <c r="AV536" s="64"/>
      <c r="AW536" s="55">
        <f t="shared" si="46"/>
        <v>0</v>
      </c>
      <c r="AX536" s="55">
        <f t="shared" si="47"/>
        <v>360000000</v>
      </c>
      <c r="AY536" s="55">
        <f t="shared" si="48"/>
        <v>378000000</v>
      </c>
      <c r="AZ536" s="55">
        <f t="shared" si="49"/>
        <v>397000000</v>
      </c>
      <c r="BA536" s="55">
        <f t="shared" si="50"/>
        <v>1135000000</v>
      </c>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row>
    <row r="537" spans="1:133" s="13" customFormat="1" ht="110.25" x14ac:dyDescent="0.25">
      <c r="A537" s="129" t="s">
        <v>999</v>
      </c>
      <c r="B537" s="117" t="s">
        <v>1079</v>
      </c>
      <c r="C537" s="114" t="s">
        <v>1080</v>
      </c>
      <c r="D537" s="124" t="s">
        <v>1081</v>
      </c>
      <c r="E537" s="114" t="s">
        <v>1082</v>
      </c>
      <c r="F537" s="114">
        <v>0.15</v>
      </c>
      <c r="G537" s="110" t="s">
        <v>1083</v>
      </c>
      <c r="H537" s="110" t="s">
        <v>1664</v>
      </c>
      <c r="I537" s="103" t="s">
        <v>1084</v>
      </c>
      <c r="J537" s="103" t="s">
        <v>1682</v>
      </c>
      <c r="K537" s="178">
        <v>0</v>
      </c>
      <c r="L537" s="179">
        <v>100</v>
      </c>
      <c r="M537" s="56" t="s">
        <v>172</v>
      </c>
      <c r="N537" s="56" t="s">
        <v>164</v>
      </c>
      <c r="O537" s="54" t="s">
        <v>511</v>
      </c>
      <c r="P537" s="58" t="s">
        <v>39</v>
      </c>
      <c r="Q537" s="171" t="s">
        <v>1680</v>
      </c>
      <c r="R537" s="182">
        <v>0</v>
      </c>
      <c r="S537" s="178">
        <v>50</v>
      </c>
      <c r="T537" s="178">
        <v>50</v>
      </c>
      <c r="U537" s="183">
        <v>0</v>
      </c>
      <c r="V537" s="59"/>
      <c r="W537" s="60"/>
      <c r="X537" s="60"/>
      <c r="Y537" s="60"/>
      <c r="Z537" s="60"/>
      <c r="AA537" s="61"/>
      <c r="AB537" s="62">
        <v>300000000</v>
      </c>
      <c r="AC537" s="60"/>
      <c r="AD537" s="60"/>
      <c r="AE537" s="60"/>
      <c r="AF537" s="60"/>
      <c r="AG537" s="60"/>
      <c r="AH537" s="63"/>
      <c r="AI537" s="62">
        <v>1243649680.5</v>
      </c>
      <c r="AJ537" s="60"/>
      <c r="AK537" s="60"/>
      <c r="AL537" s="60"/>
      <c r="AM537" s="60"/>
      <c r="AN537" s="60"/>
      <c r="AO537" s="63"/>
      <c r="AP537" s="62">
        <v>1243649680.5</v>
      </c>
      <c r="AQ537" s="60"/>
      <c r="AR537" s="60"/>
      <c r="AS537" s="60"/>
      <c r="AT537" s="60"/>
      <c r="AU537" s="60"/>
      <c r="AV537" s="64"/>
      <c r="AW537" s="55">
        <f t="shared" si="46"/>
        <v>0</v>
      </c>
      <c r="AX537" s="55">
        <f t="shared" si="47"/>
        <v>300000000</v>
      </c>
      <c r="AY537" s="55">
        <f t="shared" si="48"/>
        <v>1243649680.5</v>
      </c>
      <c r="AZ537" s="55">
        <f t="shared" si="49"/>
        <v>1243649680.5</v>
      </c>
      <c r="BA537" s="55">
        <f t="shared" si="50"/>
        <v>2787299361</v>
      </c>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4"/>
      <c r="CF537" s="4"/>
      <c r="CG537" s="4"/>
      <c r="CH537" s="4"/>
      <c r="CI537" s="4"/>
      <c r="CJ537" s="4"/>
      <c r="CK537" s="4"/>
      <c r="CL537" s="4"/>
      <c r="CM537" s="4"/>
      <c r="CN537" s="4"/>
      <c r="CO537" s="4"/>
      <c r="CP537" s="4"/>
      <c r="CQ537" s="4"/>
      <c r="CR537" s="4"/>
      <c r="CS537" s="4"/>
      <c r="CT537" s="4"/>
      <c r="CU537" s="4"/>
      <c r="CV537" s="4"/>
      <c r="CW537" s="4"/>
      <c r="CX537" s="4"/>
      <c r="CY537" s="4"/>
      <c r="CZ537" s="4"/>
      <c r="DA537" s="4"/>
      <c r="DB537" s="4"/>
      <c r="DC537" s="4"/>
      <c r="DD537" s="4"/>
      <c r="DE537" s="4"/>
      <c r="DF537" s="4"/>
      <c r="DG537" s="4"/>
      <c r="DH537" s="4"/>
      <c r="DI537" s="4"/>
      <c r="DJ537" s="4"/>
      <c r="DK537" s="4"/>
      <c r="DL537" s="4"/>
      <c r="DM537" s="4"/>
      <c r="DN537" s="4"/>
      <c r="DO537" s="4"/>
      <c r="DP537" s="4"/>
      <c r="DQ537" s="4"/>
      <c r="DR537" s="4"/>
      <c r="DS537" s="4"/>
      <c r="DT537" s="4"/>
      <c r="DU537" s="4"/>
      <c r="DV537" s="4"/>
      <c r="DW537" s="4"/>
      <c r="DX537" s="4"/>
      <c r="DY537" s="4"/>
      <c r="DZ537" s="4"/>
      <c r="EA537" s="4"/>
      <c r="EB537" s="4"/>
      <c r="EC537" s="4"/>
    </row>
    <row r="538" spans="1:133" s="13" customFormat="1" ht="110.25" x14ac:dyDescent="0.25">
      <c r="A538" s="129" t="s">
        <v>999</v>
      </c>
      <c r="B538" s="117" t="s">
        <v>1079</v>
      </c>
      <c r="C538" s="114" t="s">
        <v>1080</v>
      </c>
      <c r="D538" s="124" t="s">
        <v>1081</v>
      </c>
      <c r="E538" s="114" t="s">
        <v>1082</v>
      </c>
      <c r="F538" s="114">
        <v>0.15</v>
      </c>
      <c r="G538" s="110" t="s">
        <v>1083</v>
      </c>
      <c r="H538" s="110" t="s">
        <v>1665</v>
      </c>
      <c r="I538" s="103" t="s">
        <v>1085</v>
      </c>
      <c r="J538" s="103" t="s">
        <v>1682</v>
      </c>
      <c r="K538" s="178">
        <v>0</v>
      </c>
      <c r="L538" s="179">
        <v>100</v>
      </c>
      <c r="M538" s="56" t="s">
        <v>172</v>
      </c>
      <c r="N538" s="56" t="s">
        <v>164</v>
      </c>
      <c r="O538" s="54" t="s">
        <v>511</v>
      </c>
      <c r="P538" s="58" t="s">
        <v>39</v>
      </c>
      <c r="Q538" s="171" t="s">
        <v>1680</v>
      </c>
      <c r="R538" s="182">
        <v>0</v>
      </c>
      <c r="S538" s="178">
        <v>35</v>
      </c>
      <c r="T538" s="178">
        <v>35</v>
      </c>
      <c r="U538" s="183">
        <v>30</v>
      </c>
      <c r="V538" s="59"/>
      <c r="W538" s="60"/>
      <c r="X538" s="60"/>
      <c r="Y538" s="60"/>
      <c r="Z538" s="60"/>
      <c r="AA538" s="61"/>
      <c r="AB538" s="62">
        <v>300000000</v>
      </c>
      <c r="AC538" s="60"/>
      <c r="AD538" s="60"/>
      <c r="AE538" s="60"/>
      <c r="AF538" s="60"/>
      <c r="AG538" s="60"/>
      <c r="AH538" s="63"/>
      <c r="AI538" s="62">
        <v>295967897.75999993</v>
      </c>
      <c r="AJ538" s="60"/>
      <c r="AK538" s="60"/>
      <c r="AL538" s="60"/>
      <c r="AM538" s="60"/>
      <c r="AN538" s="60"/>
      <c r="AO538" s="63"/>
      <c r="AP538" s="62">
        <v>295967897.75999993</v>
      </c>
      <c r="AQ538" s="60"/>
      <c r="AR538" s="60"/>
      <c r="AS538" s="60"/>
      <c r="AT538" s="60"/>
      <c r="AU538" s="60"/>
      <c r="AV538" s="64"/>
      <c r="AW538" s="55">
        <f t="shared" si="46"/>
        <v>0</v>
      </c>
      <c r="AX538" s="55">
        <f t="shared" si="47"/>
        <v>300000000</v>
      </c>
      <c r="AY538" s="55">
        <f t="shared" si="48"/>
        <v>295967897.75999993</v>
      </c>
      <c r="AZ538" s="55">
        <f t="shared" si="49"/>
        <v>295967897.75999993</v>
      </c>
      <c r="BA538" s="55">
        <f t="shared" si="50"/>
        <v>891935795.51999998</v>
      </c>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4"/>
      <c r="CF538" s="4"/>
      <c r="CG538" s="4"/>
      <c r="CH538" s="4"/>
      <c r="CI538" s="4"/>
      <c r="CJ538" s="4"/>
      <c r="CK538" s="4"/>
      <c r="CL538" s="4"/>
      <c r="CM538" s="4"/>
      <c r="CN538" s="4"/>
      <c r="CO538" s="4"/>
      <c r="CP538" s="4"/>
      <c r="CQ538" s="4"/>
      <c r="CR538" s="4"/>
      <c r="CS538" s="4"/>
      <c r="CT538" s="4"/>
      <c r="CU538" s="4"/>
      <c r="CV538" s="4"/>
      <c r="CW538" s="4"/>
      <c r="CX538" s="4"/>
      <c r="CY538" s="4"/>
      <c r="CZ538" s="4"/>
      <c r="DA538" s="4"/>
      <c r="DB538" s="4"/>
      <c r="DC538" s="4"/>
      <c r="DD538" s="4"/>
      <c r="DE538" s="4"/>
      <c r="DF538" s="4"/>
      <c r="DG538" s="4"/>
      <c r="DH538" s="4"/>
      <c r="DI538" s="4"/>
      <c r="DJ538" s="4"/>
      <c r="DK538" s="4"/>
      <c r="DL538" s="4"/>
      <c r="DM538" s="4"/>
      <c r="DN538" s="4"/>
      <c r="DO538" s="4"/>
      <c r="DP538" s="4"/>
      <c r="DQ538" s="4"/>
      <c r="DR538" s="4"/>
      <c r="DS538" s="4"/>
      <c r="DT538" s="4"/>
      <c r="DU538" s="4"/>
      <c r="DV538" s="4"/>
      <c r="DW538" s="4"/>
      <c r="DX538" s="4"/>
      <c r="DY538" s="4"/>
      <c r="DZ538" s="4"/>
      <c r="EA538" s="4"/>
      <c r="EB538" s="4"/>
      <c r="EC538" s="4"/>
    </row>
    <row r="539" spans="1:133" s="13" customFormat="1" ht="141.75" x14ac:dyDescent="0.25">
      <c r="A539" s="129" t="s">
        <v>999</v>
      </c>
      <c r="B539" s="117" t="s">
        <v>1079</v>
      </c>
      <c r="C539" s="114" t="s">
        <v>1080</v>
      </c>
      <c r="D539" s="124" t="s">
        <v>1081</v>
      </c>
      <c r="E539" s="114" t="s">
        <v>1082</v>
      </c>
      <c r="F539" s="114">
        <v>0.15</v>
      </c>
      <c r="G539" s="110" t="s">
        <v>1083</v>
      </c>
      <c r="H539" s="110" t="s">
        <v>1666</v>
      </c>
      <c r="I539" s="103" t="s">
        <v>1086</v>
      </c>
      <c r="J539" s="103" t="s">
        <v>1682</v>
      </c>
      <c r="K539" s="178">
        <v>0</v>
      </c>
      <c r="L539" s="179">
        <v>100</v>
      </c>
      <c r="M539" s="56" t="s">
        <v>172</v>
      </c>
      <c r="N539" s="56" t="s">
        <v>164</v>
      </c>
      <c r="O539" s="54" t="s">
        <v>511</v>
      </c>
      <c r="P539" s="58" t="s">
        <v>39</v>
      </c>
      <c r="Q539" s="171" t="s">
        <v>1680</v>
      </c>
      <c r="R539" s="182">
        <v>0</v>
      </c>
      <c r="S539" s="178">
        <v>30</v>
      </c>
      <c r="T539" s="178">
        <v>30</v>
      </c>
      <c r="U539" s="183">
        <v>40</v>
      </c>
      <c r="V539" s="59"/>
      <c r="W539" s="60"/>
      <c r="X539" s="60"/>
      <c r="Y539" s="60"/>
      <c r="Z539" s="60"/>
      <c r="AA539" s="61"/>
      <c r="AB539" s="62">
        <v>400000000</v>
      </c>
      <c r="AC539" s="60"/>
      <c r="AD539" s="60"/>
      <c r="AE539" s="60"/>
      <c r="AF539" s="60"/>
      <c r="AG539" s="60"/>
      <c r="AH539" s="63"/>
      <c r="AI539" s="62">
        <v>0</v>
      </c>
      <c r="AJ539" s="60"/>
      <c r="AK539" s="60"/>
      <c r="AL539" s="60"/>
      <c r="AM539" s="60"/>
      <c r="AN539" s="60"/>
      <c r="AO539" s="63"/>
      <c r="AP539" s="62">
        <v>0</v>
      </c>
      <c r="AQ539" s="60"/>
      <c r="AR539" s="60"/>
      <c r="AS539" s="60"/>
      <c r="AT539" s="60"/>
      <c r="AU539" s="60"/>
      <c r="AV539" s="64"/>
      <c r="AW539" s="55">
        <f t="shared" si="46"/>
        <v>0</v>
      </c>
      <c r="AX539" s="55">
        <f t="shared" si="47"/>
        <v>400000000</v>
      </c>
      <c r="AY539" s="55">
        <f t="shared" si="48"/>
        <v>0</v>
      </c>
      <c r="AZ539" s="55">
        <f t="shared" si="49"/>
        <v>0</v>
      </c>
      <c r="BA539" s="55">
        <f t="shared" si="50"/>
        <v>400000000</v>
      </c>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4"/>
      <c r="CF539" s="4"/>
      <c r="CG539" s="4"/>
      <c r="CH539" s="4"/>
      <c r="CI539" s="4"/>
      <c r="CJ539" s="4"/>
      <c r="CK539" s="4"/>
      <c r="CL539" s="4"/>
      <c r="CM539" s="4"/>
      <c r="CN539" s="4"/>
      <c r="CO539" s="4"/>
      <c r="CP539" s="4"/>
      <c r="CQ539" s="4"/>
      <c r="CR539" s="4"/>
      <c r="CS539" s="4"/>
      <c r="CT539" s="4"/>
      <c r="CU539" s="4"/>
      <c r="CV539" s="4"/>
      <c r="CW539" s="4"/>
      <c r="CX539" s="4"/>
      <c r="CY539" s="4"/>
      <c r="CZ539" s="4"/>
      <c r="DA539" s="4"/>
      <c r="DB539" s="4"/>
      <c r="DC539" s="4"/>
      <c r="DD539" s="4"/>
      <c r="DE539" s="4"/>
      <c r="DF539" s="4"/>
      <c r="DG539" s="4"/>
      <c r="DH539" s="4"/>
      <c r="DI539" s="4"/>
      <c r="DJ539" s="4"/>
      <c r="DK539" s="4"/>
      <c r="DL539" s="4"/>
      <c r="DM539" s="4"/>
      <c r="DN539" s="4"/>
      <c r="DO539" s="4"/>
      <c r="DP539" s="4"/>
      <c r="DQ539" s="4"/>
      <c r="DR539" s="4"/>
      <c r="DS539" s="4"/>
      <c r="DT539" s="4"/>
      <c r="DU539" s="4"/>
      <c r="DV539" s="4"/>
      <c r="DW539" s="4"/>
      <c r="DX539" s="4"/>
      <c r="DY539" s="4"/>
      <c r="DZ539" s="4"/>
      <c r="EA539" s="4"/>
      <c r="EB539" s="4"/>
      <c r="EC539" s="4"/>
    </row>
    <row r="540" spans="1:133" s="13" customFormat="1" ht="110.25" x14ac:dyDescent="0.25">
      <c r="A540" s="129" t="s">
        <v>999</v>
      </c>
      <c r="B540" s="117" t="s">
        <v>1079</v>
      </c>
      <c r="C540" s="114" t="s">
        <v>1080</v>
      </c>
      <c r="D540" s="124" t="s">
        <v>1081</v>
      </c>
      <c r="E540" s="114" t="s">
        <v>1082</v>
      </c>
      <c r="F540" s="114">
        <v>0.15</v>
      </c>
      <c r="G540" s="110" t="s">
        <v>1083</v>
      </c>
      <c r="H540" s="110" t="s">
        <v>1667</v>
      </c>
      <c r="I540" s="103" t="s">
        <v>1088</v>
      </c>
      <c r="J540" s="103" t="s">
        <v>1682</v>
      </c>
      <c r="K540" s="178">
        <v>0</v>
      </c>
      <c r="L540" s="179">
        <v>100</v>
      </c>
      <c r="M540" s="56" t="s">
        <v>172</v>
      </c>
      <c r="N540" s="56" t="s">
        <v>164</v>
      </c>
      <c r="O540" s="54" t="s">
        <v>511</v>
      </c>
      <c r="P540" s="58" t="s">
        <v>39</v>
      </c>
      <c r="Q540" s="171" t="s">
        <v>1680</v>
      </c>
      <c r="R540" s="182">
        <v>0</v>
      </c>
      <c r="S540" s="178">
        <v>40</v>
      </c>
      <c r="T540" s="178">
        <v>20</v>
      </c>
      <c r="U540" s="183">
        <v>40</v>
      </c>
      <c r="V540" s="59"/>
      <c r="W540" s="60"/>
      <c r="X540" s="60"/>
      <c r="Y540" s="60"/>
      <c r="Z540" s="60"/>
      <c r="AA540" s="61"/>
      <c r="AB540" s="62">
        <v>450000000</v>
      </c>
      <c r="AC540" s="60"/>
      <c r="AD540" s="60">
        <v>3067170276.9000001</v>
      </c>
      <c r="AE540" s="60"/>
      <c r="AF540" s="60"/>
      <c r="AG540" s="60"/>
      <c r="AH540" s="63"/>
      <c r="AI540" s="62">
        <v>1274093501.5800002</v>
      </c>
      <c r="AJ540" s="60"/>
      <c r="AK540" s="60">
        <v>3067170276.9000001</v>
      </c>
      <c r="AL540" s="60"/>
      <c r="AM540" s="60"/>
      <c r="AN540" s="60"/>
      <c r="AO540" s="63"/>
      <c r="AP540" s="62">
        <v>1522884837.02</v>
      </c>
      <c r="AQ540" s="60"/>
      <c r="AR540" s="60">
        <v>1067170276.9</v>
      </c>
      <c r="AS540" s="60"/>
      <c r="AT540" s="60"/>
      <c r="AU540" s="60"/>
      <c r="AV540" s="64"/>
      <c r="AW540" s="55">
        <f t="shared" si="46"/>
        <v>0</v>
      </c>
      <c r="AX540" s="55">
        <f t="shared" si="47"/>
        <v>3517170276.9000001</v>
      </c>
      <c r="AY540" s="55">
        <f t="shared" si="48"/>
        <v>4341263778.4800005</v>
      </c>
      <c r="AZ540" s="55">
        <f t="shared" si="49"/>
        <v>2590055113.9200001</v>
      </c>
      <c r="BA540" s="55">
        <f t="shared" si="50"/>
        <v>10448489169.300001</v>
      </c>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c r="CP540" s="4"/>
      <c r="CQ540" s="4"/>
      <c r="CR540" s="4"/>
      <c r="CS540" s="4"/>
      <c r="CT540" s="4"/>
      <c r="CU540" s="4"/>
      <c r="CV540" s="4"/>
      <c r="CW540" s="4"/>
      <c r="CX540" s="4"/>
      <c r="CY540" s="4"/>
      <c r="CZ540" s="4"/>
      <c r="DA540" s="4"/>
      <c r="DB540" s="4"/>
      <c r="DC540" s="4"/>
      <c r="DD540" s="4"/>
      <c r="DE540" s="4"/>
      <c r="DF540" s="4"/>
      <c r="DG540" s="4"/>
      <c r="DH540" s="4"/>
      <c r="DI540" s="4"/>
      <c r="DJ540" s="4"/>
      <c r="DK540" s="4"/>
      <c r="DL540" s="4"/>
      <c r="DM540" s="4"/>
      <c r="DN540" s="4"/>
      <c r="DO540" s="4"/>
      <c r="DP540" s="4"/>
      <c r="DQ540" s="4"/>
      <c r="DR540" s="4"/>
      <c r="DS540" s="4"/>
      <c r="DT540" s="4"/>
      <c r="DU540" s="4"/>
      <c r="DV540" s="4"/>
      <c r="DW540" s="4"/>
      <c r="DX540" s="4"/>
      <c r="DY540" s="4"/>
      <c r="DZ540" s="4"/>
      <c r="EA540" s="4"/>
      <c r="EB540" s="4"/>
      <c r="EC540" s="4"/>
    </row>
    <row r="541" spans="1:133" s="13" customFormat="1" ht="110.25" x14ac:dyDescent="0.25">
      <c r="A541" s="129" t="s">
        <v>999</v>
      </c>
      <c r="B541" s="117" t="s">
        <v>1079</v>
      </c>
      <c r="C541" s="114" t="s">
        <v>1080</v>
      </c>
      <c r="D541" s="124" t="s">
        <v>1081</v>
      </c>
      <c r="E541" s="114" t="s">
        <v>1082</v>
      </c>
      <c r="F541" s="114">
        <v>0.15</v>
      </c>
      <c r="G541" s="110" t="s">
        <v>1083</v>
      </c>
      <c r="H541" s="110" t="s">
        <v>1668</v>
      </c>
      <c r="I541" s="103" t="s">
        <v>1089</v>
      </c>
      <c r="J541" s="103" t="s">
        <v>1682</v>
      </c>
      <c r="K541" s="178">
        <v>0</v>
      </c>
      <c r="L541" s="179">
        <v>100</v>
      </c>
      <c r="M541" s="56" t="s">
        <v>172</v>
      </c>
      <c r="N541" s="56" t="s">
        <v>164</v>
      </c>
      <c r="O541" s="54" t="s">
        <v>511</v>
      </c>
      <c r="P541" s="58" t="s">
        <v>39</v>
      </c>
      <c r="Q541" s="171" t="s">
        <v>1680</v>
      </c>
      <c r="R541" s="182">
        <v>0</v>
      </c>
      <c r="S541" s="178">
        <v>40</v>
      </c>
      <c r="T541" s="178">
        <v>20</v>
      </c>
      <c r="U541" s="183">
        <v>40</v>
      </c>
      <c r="V541" s="59"/>
      <c r="W541" s="60"/>
      <c r="X541" s="60"/>
      <c r="Y541" s="60"/>
      <c r="Z541" s="60"/>
      <c r="AA541" s="61"/>
      <c r="AB541" s="62">
        <v>400000000</v>
      </c>
      <c r="AC541" s="60"/>
      <c r="AD541" s="60">
        <v>3067170276.9000001</v>
      </c>
      <c r="AE541" s="60"/>
      <c r="AF541" s="60"/>
      <c r="AG541" s="60"/>
      <c r="AH541" s="63"/>
      <c r="AI541" s="62">
        <v>900000000</v>
      </c>
      <c r="AJ541" s="60"/>
      <c r="AK541" s="60">
        <v>3067170276.9000001</v>
      </c>
      <c r="AL541" s="60"/>
      <c r="AM541" s="60"/>
      <c r="AN541" s="60"/>
      <c r="AO541" s="63"/>
      <c r="AP541" s="62">
        <v>1700000000</v>
      </c>
      <c r="AQ541" s="60"/>
      <c r="AR541" s="60">
        <v>1067170276.9</v>
      </c>
      <c r="AS541" s="60"/>
      <c r="AT541" s="60"/>
      <c r="AU541" s="60"/>
      <c r="AV541" s="64"/>
      <c r="AW541" s="55">
        <f t="shared" si="46"/>
        <v>0</v>
      </c>
      <c r="AX541" s="55">
        <f t="shared" si="47"/>
        <v>3467170276.9000001</v>
      </c>
      <c r="AY541" s="55">
        <f t="shared" si="48"/>
        <v>3967170276.9000001</v>
      </c>
      <c r="AZ541" s="55">
        <f t="shared" si="49"/>
        <v>2767170276.9000001</v>
      </c>
      <c r="BA541" s="55">
        <f t="shared" si="50"/>
        <v>10201510830.700001</v>
      </c>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4"/>
      <c r="CF541" s="4"/>
      <c r="CG541" s="4"/>
      <c r="CH541" s="4"/>
      <c r="CI541" s="4"/>
      <c r="CJ541" s="4"/>
      <c r="CK541" s="4"/>
      <c r="CL541" s="4"/>
      <c r="CM541" s="4"/>
      <c r="CN541" s="4"/>
      <c r="CO541" s="4"/>
      <c r="CP541" s="4"/>
      <c r="CQ541" s="4"/>
      <c r="CR541" s="4"/>
      <c r="CS541" s="4"/>
      <c r="CT541" s="4"/>
      <c r="CU541" s="4"/>
      <c r="CV541" s="4"/>
      <c r="CW541" s="4"/>
      <c r="CX541" s="4"/>
      <c r="CY541" s="4"/>
      <c r="CZ541" s="4"/>
      <c r="DA541" s="4"/>
      <c r="DB541" s="4"/>
      <c r="DC541" s="4"/>
      <c r="DD541" s="4"/>
      <c r="DE541" s="4"/>
      <c r="DF541" s="4"/>
      <c r="DG541" s="4"/>
      <c r="DH541" s="4"/>
      <c r="DI541" s="4"/>
      <c r="DJ541" s="4"/>
      <c r="DK541" s="4"/>
      <c r="DL541" s="4"/>
      <c r="DM541" s="4"/>
      <c r="DN541" s="4"/>
      <c r="DO541" s="4"/>
      <c r="DP541" s="4"/>
      <c r="DQ541" s="4"/>
      <c r="DR541" s="4"/>
      <c r="DS541" s="4"/>
      <c r="DT541" s="4"/>
      <c r="DU541" s="4"/>
      <c r="DV541" s="4"/>
      <c r="DW541" s="4"/>
      <c r="DX541" s="4"/>
      <c r="DY541" s="4"/>
      <c r="DZ541" s="4"/>
      <c r="EA541" s="4"/>
      <c r="EB541" s="4"/>
      <c r="EC541" s="4"/>
    </row>
    <row r="542" spans="1:133" s="13" customFormat="1" ht="110.25" x14ac:dyDescent="0.25">
      <c r="A542" s="129" t="s">
        <v>999</v>
      </c>
      <c r="B542" s="117" t="s">
        <v>1079</v>
      </c>
      <c r="C542" s="114" t="s">
        <v>1080</v>
      </c>
      <c r="D542" s="124" t="s">
        <v>1081</v>
      </c>
      <c r="E542" s="114" t="s">
        <v>1082</v>
      </c>
      <c r="F542" s="114">
        <v>0.15</v>
      </c>
      <c r="G542" s="110" t="s">
        <v>1083</v>
      </c>
      <c r="H542" s="110" t="s">
        <v>1669</v>
      </c>
      <c r="I542" s="103" t="s">
        <v>1090</v>
      </c>
      <c r="J542" s="103" t="s">
        <v>1682</v>
      </c>
      <c r="K542" s="178">
        <v>0</v>
      </c>
      <c r="L542" s="179">
        <v>100</v>
      </c>
      <c r="M542" s="56" t="s">
        <v>172</v>
      </c>
      <c r="N542" s="56" t="s">
        <v>164</v>
      </c>
      <c r="O542" s="54" t="s">
        <v>511</v>
      </c>
      <c r="P542" s="58" t="s">
        <v>39</v>
      </c>
      <c r="Q542" s="171" t="s">
        <v>1680</v>
      </c>
      <c r="R542" s="182">
        <v>0</v>
      </c>
      <c r="S542" s="178">
        <v>60</v>
      </c>
      <c r="T542" s="178">
        <v>40</v>
      </c>
      <c r="U542" s="183">
        <v>0</v>
      </c>
      <c r="V542" s="59"/>
      <c r="W542" s="60"/>
      <c r="X542" s="60"/>
      <c r="Y542" s="60"/>
      <c r="Z542" s="60"/>
      <c r="AA542" s="61"/>
      <c r="AB542" s="62">
        <v>400000000</v>
      </c>
      <c r="AC542" s="60"/>
      <c r="AD542" s="60"/>
      <c r="AE542" s="60"/>
      <c r="AF542" s="60"/>
      <c r="AG542" s="60"/>
      <c r="AH542" s="63"/>
      <c r="AI542" s="62">
        <v>0</v>
      </c>
      <c r="AJ542" s="60"/>
      <c r="AK542" s="60"/>
      <c r="AL542" s="60"/>
      <c r="AM542" s="60"/>
      <c r="AN542" s="60"/>
      <c r="AO542" s="63"/>
      <c r="AP542" s="62">
        <v>0</v>
      </c>
      <c r="AQ542" s="60"/>
      <c r="AR542" s="60"/>
      <c r="AS542" s="60"/>
      <c r="AT542" s="60"/>
      <c r="AU542" s="60"/>
      <c r="AV542" s="64"/>
      <c r="AW542" s="55">
        <f t="shared" si="46"/>
        <v>0</v>
      </c>
      <c r="AX542" s="55">
        <f t="shared" si="47"/>
        <v>400000000</v>
      </c>
      <c r="AY542" s="55">
        <f t="shared" si="48"/>
        <v>0</v>
      </c>
      <c r="AZ542" s="55">
        <f t="shared" si="49"/>
        <v>0</v>
      </c>
      <c r="BA542" s="55">
        <f t="shared" si="50"/>
        <v>400000000</v>
      </c>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4"/>
      <c r="CF542" s="4"/>
      <c r="CG542" s="4"/>
      <c r="CH542" s="4"/>
      <c r="CI542" s="4"/>
      <c r="CJ542" s="4"/>
      <c r="CK542" s="4"/>
      <c r="CL542" s="4"/>
      <c r="CM542" s="4"/>
      <c r="CN542" s="4"/>
      <c r="CO542" s="4"/>
      <c r="CP542" s="4"/>
      <c r="CQ542" s="4"/>
      <c r="CR542" s="4"/>
      <c r="CS542" s="4"/>
      <c r="CT542" s="4"/>
      <c r="CU542" s="4"/>
      <c r="CV542" s="4"/>
      <c r="CW542" s="4"/>
      <c r="CX542" s="4"/>
      <c r="CY542" s="4"/>
      <c r="CZ542" s="4"/>
      <c r="DA542" s="4"/>
      <c r="DB542" s="4"/>
      <c r="DC542" s="4"/>
      <c r="DD542" s="4"/>
      <c r="DE542" s="4"/>
      <c r="DF542" s="4"/>
      <c r="DG542" s="4"/>
      <c r="DH542" s="4"/>
      <c r="DI542" s="4"/>
      <c r="DJ542" s="4"/>
      <c r="DK542" s="4"/>
      <c r="DL542" s="4"/>
      <c r="DM542" s="4"/>
      <c r="DN542" s="4"/>
      <c r="DO542" s="4"/>
      <c r="DP542" s="4"/>
      <c r="DQ542" s="4"/>
      <c r="DR542" s="4"/>
      <c r="DS542" s="4"/>
      <c r="DT542" s="4"/>
      <c r="DU542" s="4"/>
      <c r="DV542" s="4"/>
      <c r="DW542" s="4"/>
      <c r="DX542" s="4"/>
      <c r="DY542" s="4"/>
      <c r="DZ542" s="4"/>
      <c r="EA542" s="4"/>
      <c r="EB542" s="4"/>
      <c r="EC542" s="4"/>
    </row>
    <row r="543" spans="1:133" s="13" customFormat="1" ht="110.25" x14ac:dyDescent="0.25">
      <c r="A543" s="129" t="s">
        <v>999</v>
      </c>
      <c r="B543" s="117" t="s">
        <v>1079</v>
      </c>
      <c r="C543" s="114" t="s">
        <v>1080</v>
      </c>
      <c r="D543" s="124" t="s">
        <v>1081</v>
      </c>
      <c r="E543" s="114" t="s">
        <v>1082</v>
      </c>
      <c r="F543" s="114">
        <v>0.15</v>
      </c>
      <c r="G543" s="103" t="s">
        <v>1092</v>
      </c>
      <c r="H543" s="103" t="s">
        <v>1670</v>
      </c>
      <c r="I543" s="103" t="s">
        <v>1093</v>
      </c>
      <c r="J543" s="103" t="s">
        <v>1685</v>
      </c>
      <c r="K543" s="56">
        <v>9</v>
      </c>
      <c r="L543" s="86">
        <v>9</v>
      </c>
      <c r="M543" s="56" t="s">
        <v>172</v>
      </c>
      <c r="N543" s="56" t="s">
        <v>164</v>
      </c>
      <c r="O543" s="54" t="s">
        <v>511</v>
      </c>
      <c r="P543" s="58" t="s">
        <v>39</v>
      </c>
      <c r="Q543" s="171" t="s">
        <v>1680</v>
      </c>
      <c r="R543" s="182">
        <v>2</v>
      </c>
      <c r="S543" s="178">
        <v>3</v>
      </c>
      <c r="T543" s="178">
        <v>2</v>
      </c>
      <c r="U543" s="183">
        <v>2</v>
      </c>
      <c r="V543" s="59"/>
      <c r="W543" s="60">
        <v>1800000000</v>
      </c>
      <c r="X543" s="60"/>
      <c r="Y543" s="60"/>
      <c r="Z543" s="60"/>
      <c r="AA543" s="61"/>
      <c r="AB543" s="62">
        <v>620000000</v>
      </c>
      <c r="AC543" s="60"/>
      <c r="AD543" s="60"/>
      <c r="AE543" s="60"/>
      <c r="AF543" s="60"/>
      <c r="AG543" s="60"/>
      <c r="AH543" s="63"/>
      <c r="AI543" s="62">
        <v>620000000</v>
      </c>
      <c r="AJ543" s="60"/>
      <c r="AK543" s="60"/>
      <c r="AL543" s="60"/>
      <c r="AM543" s="60"/>
      <c r="AN543" s="60"/>
      <c r="AO543" s="63"/>
      <c r="AP543" s="62">
        <v>620000000</v>
      </c>
      <c r="AQ543" s="60"/>
      <c r="AR543" s="60"/>
      <c r="AS543" s="60"/>
      <c r="AT543" s="60"/>
      <c r="AU543" s="60"/>
      <c r="AV543" s="64"/>
      <c r="AW543" s="55">
        <f t="shared" si="46"/>
        <v>1800000000</v>
      </c>
      <c r="AX543" s="55">
        <f t="shared" si="47"/>
        <v>620000000</v>
      </c>
      <c r="AY543" s="55">
        <f t="shared" si="48"/>
        <v>620000000</v>
      </c>
      <c r="AZ543" s="55">
        <f t="shared" si="49"/>
        <v>620000000</v>
      </c>
      <c r="BA543" s="55">
        <f t="shared" si="50"/>
        <v>3660000000</v>
      </c>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4"/>
      <c r="CF543" s="4"/>
      <c r="CG543" s="4"/>
      <c r="CH543" s="4"/>
      <c r="CI543" s="4"/>
      <c r="CJ543" s="4"/>
      <c r="CK543" s="4"/>
      <c r="CL543" s="4"/>
      <c r="CM543" s="4"/>
      <c r="CN543" s="4"/>
      <c r="CO543" s="4"/>
      <c r="CP543" s="4"/>
      <c r="CQ543" s="4"/>
      <c r="CR543" s="4"/>
      <c r="CS543" s="4"/>
      <c r="CT543" s="4"/>
      <c r="CU543" s="4"/>
      <c r="CV543" s="4"/>
      <c r="CW543" s="4"/>
      <c r="CX543" s="4"/>
      <c r="CY543" s="4"/>
      <c r="CZ543" s="4"/>
      <c r="DA543" s="4"/>
      <c r="DB543" s="4"/>
      <c r="DC543" s="4"/>
      <c r="DD543" s="4"/>
      <c r="DE543" s="4"/>
      <c r="DF543" s="4"/>
      <c r="DG543" s="4"/>
      <c r="DH543" s="4"/>
      <c r="DI543" s="4"/>
      <c r="DJ543" s="4"/>
      <c r="DK543" s="4"/>
      <c r="DL543" s="4"/>
      <c r="DM543" s="4"/>
      <c r="DN543" s="4"/>
      <c r="DO543" s="4"/>
      <c r="DP543" s="4"/>
      <c r="DQ543" s="4"/>
      <c r="DR543" s="4"/>
      <c r="DS543" s="4"/>
      <c r="DT543" s="4"/>
      <c r="DU543" s="4"/>
      <c r="DV543" s="4"/>
      <c r="DW543" s="4"/>
      <c r="DX543" s="4"/>
      <c r="DY543" s="4"/>
      <c r="DZ543" s="4"/>
      <c r="EA543" s="4"/>
      <c r="EB543" s="4"/>
      <c r="EC543" s="4"/>
    </row>
    <row r="544" spans="1:133" s="13" customFormat="1" ht="110.25" x14ac:dyDescent="0.25">
      <c r="A544" s="129" t="s">
        <v>999</v>
      </c>
      <c r="B544" s="117" t="s">
        <v>1079</v>
      </c>
      <c r="C544" s="114" t="s">
        <v>1080</v>
      </c>
      <c r="D544" s="124" t="s">
        <v>1081</v>
      </c>
      <c r="E544" s="114" t="s">
        <v>1082</v>
      </c>
      <c r="F544" s="114">
        <v>0.15</v>
      </c>
      <c r="G544" s="103" t="s">
        <v>1094</v>
      </c>
      <c r="H544" s="103" t="s">
        <v>1671</v>
      </c>
      <c r="I544" s="103" t="s">
        <v>1095</v>
      </c>
      <c r="J544" s="103" t="s">
        <v>1682</v>
      </c>
      <c r="K544" s="178">
        <v>0</v>
      </c>
      <c r="L544" s="179">
        <v>100</v>
      </c>
      <c r="M544" s="56" t="s">
        <v>1013</v>
      </c>
      <c r="N544" s="56" t="s">
        <v>1096</v>
      </c>
      <c r="O544" s="54" t="s">
        <v>511</v>
      </c>
      <c r="P544" s="58" t="s">
        <v>39</v>
      </c>
      <c r="Q544" s="171" t="s">
        <v>1680</v>
      </c>
      <c r="R544" s="182">
        <v>0</v>
      </c>
      <c r="S544" s="178">
        <v>60</v>
      </c>
      <c r="T544" s="178">
        <v>40</v>
      </c>
      <c r="U544" s="183">
        <v>0</v>
      </c>
      <c r="V544" s="59"/>
      <c r="W544" s="60"/>
      <c r="X544" s="60"/>
      <c r="Y544" s="60"/>
      <c r="Z544" s="60"/>
      <c r="AA544" s="61"/>
      <c r="AB544" s="62">
        <v>600000000</v>
      </c>
      <c r="AC544" s="60"/>
      <c r="AD544" s="60"/>
      <c r="AE544" s="60"/>
      <c r="AF544" s="60"/>
      <c r="AG544" s="60"/>
      <c r="AH544" s="63"/>
      <c r="AI544" s="62">
        <v>400000000</v>
      </c>
      <c r="AJ544" s="60"/>
      <c r="AK544" s="60"/>
      <c r="AL544" s="60"/>
      <c r="AM544" s="60"/>
      <c r="AN544" s="60"/>
      <c r="AO544" s="63"/>
      <c r="AP544" s="62"/>
      <c r="AQ544" s="60"/>
      <c r="AR544" s="60"/>
      <c r="AS544" s="60"/>
      <c r="AT544" s="60"/>
      <c r="AU544" s="60"/>
      <c r="AV544" s="64"/>
      <c r="AW544" s="55">
        <f t="shared" si="46"/>
        <v>0</v>
      </c>
      <c r="AX544" s="55">
        <f t="shared" si="47"/>
        <v>600000000</v>
      </c>
      <c r="AY544" s="55">
        <f t="shared" si="48"/>
        <v>400000000</v>
      </c>
      <c r="AZ544" s="55">
        <f t="shared" si="49"/>
        <v>0</v>
      </c>
      <c r="BA544" s="55">
        <f t="shared" si="50"/>
        <v>1000000000</v>
      </c>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4"/>
      <c r="CF544" s="4"/>
      <c r="CG544" s="4"/>
      <c r="CH544" s="4"/>
      <c r="CI544" s="4"/>
      <c r="CJ544" s="4"/>
      <c r="CK544" s="4"/>
      <c r="CL544" s="4"/>
      <c r="CM544" s="4"/>
      <c r="CN544" s="4"/>
      <c r="CO544" s="4"/>
      <c r="CP544" s="4"/>
      <c r="CQ544" s="4"/>
      <c r="CR544" s="4"/>
      <c r="CS544" s="4"/>
      <c r="CT544" s="4"/>
      <c r="CU544" s="4"/>
      <c r="CV544" s="4"/>
      <c r="CW544" s="4"/>
      <c r="CX544" s="4"/>
      <c r="CY544" s="4"/>
      <c r="CZ544" s="4"/>
      <c r="DA544" s="4"/>
      <c r="DB544" s="4"/>
      <c r="DC544" s="4"/>
      <c r="DD544" s="4"/>
      <c r="DE544" s="4"/>
      <c r="DF544" s="4"/>
      <c r="DG544" s="4"/>
      <c r="DH544" s="4"/>
      <c r="DI544" s="4"/>
      <c r="DJ544" s="4"/>
      <c r="DK544" s="4"/>
      <c r="DL544" s="4"/>
      <c r="DM544" s="4"/>
      <c r="DN544" s="4"/>
      <c r="DO544" s="4"/>
      <c r="DP544" s="4"/>
      <c r="DQ544" s="4"/>
      <c r="DR544" s="4"/>
      <c r="DS544" s="4"/>
      <c r="DT544" s="4"/>
      <c r="DU544" s="4"/>
      <c r="DV544" s="4"/>
      <c r="DW544" s="4"/>
      <c r="DX544" s="4"/>
      <c r="DY544" s="4"/>
      <c r="DZ544" s="4"/>
      <c r="EA544" s="4"/>
      <c r="EB544" s="4"/>
      <c r="EC544" s="4"/>
    </row>
    <row r="545" spans="1:133" s="13" customFormat="1" ht="110.25" x14ac:dyDescent="0.25">
      <c r="A545" s="129" t="s">
        <v>999</v>
      </c>
      <c r="B545" s="117" t="s">
        <v>1079</v>
      </c>
      <c r="C545" s="113" t="s">
        <v>1097</v>
      </c>
      <c r="D545" s="112" t="s">
        <v>1098</v>
      </c>
      <c r="E545" s="113">
        <v>35.04</v>
      </c>
      <c r="F545" s="113">
        <v>35.04</v>
      </c>
      <c r="G545" s="110" t="s">
        <v>1099</v>
      </c>
      <c r="H545" s="110" t="s">
        <v>1672</v>
      </c>
      <c r="I545" s="103" t="s">
        <v>1100</v>
      </c>
      <c r="J545" s="103" t="s">
        <v>1682</v>
      </c>
      <c r="K545" s="178">
        <v>100</v>
      </c>
      <c r="L545" s="179">
        <v>100</v>
      </c>
      <c r="M545" s="56" t="s">
        <v>172</v>
      </c>
      <c r="N545" s="56" t="s">
        <v>164</v>
      </c>
      <c r="O545" s="54" t="s">
        <v>511</v>
      </c>
      <c r="P545" s="58" t="s">
        <v>42</v>
      </c>
      <c r="Q545" s="54" t="s">
        <v>1679</v>
      </c>
      <c r="R545" s="182">
        <v>100</v>
      </c>
      <c r="S545" s="178">
        <v>100</v>
      </c>
      <c r="T545" s="178">
        <v>100</v>
      </c>
      <c r="U545" s="183">
        <v>100</v>
      </c>
      <c r="V545" s="59">
        <v>38062332672</v>
      </c>
      <c r="W545" s="60"/>
      <c r="X545" s="60"/>
      <c r="Y545" s="60"/>
      <c r="Z545" s="60"/>
      <c r="AA545" s="61"/>
      <c r="AB545" s="62">
        <v>8000000000</v>
      </c>
      <c r="AC545" s="60"/>
      <c r="AD545" s="60"/>
      <c r="AE545" s="60"/>
      <c r="AF545" s="60"/>
      <c r="AG545" s="60"/>
      <c r="AH545" s="63"/>
      <c r="AI545" s="62">
        <v>8000000000</v>
      </c>
      <c r="AJ545" s="60"/>
      <c r="AK545" s="60"/>
      <c r="AL545" s="60"/>
      <c r="AM545" s="60"/>
      <c r="AN545" s="60"/>
      <c r="AO545" s="63"/>
      <c r="AP545" s="62">
        <v>1000000000</v>
      </c>
      <c r="AQ545" s="60"/>
      <c r="AR545" s="60"/>
      <c r="AS545" s="60"/>
      <c r="AT545" s="60"/>
      <c r="AU545" s="60"/>
      <c r="AV545" s="64"/>
      <c r="AW545" s="55">
        <f t="shared" si="46"/>
        <v>38062332672</v>
      </c>
      <c r="AX545" s="55">
        <f t="shared" si="47"/>
        <v>8000000000</v>
      </c>
      <c r="AY545" s="55">
        <f t="shared" si="48"/>
        <v>8000000000</v>
      </c>
      <c r="AZ545" s="55">
        <f t="shared" si="49"/>
        <v>1000000000</v>
      </c>
      <c r="BA545" s="55">
        <f t="shared" si="50"/>
        <v>55062332672</v>
      </c>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4"/>
      <c r="CF545" s="4"/>
      <c r="CG545" s="4"/>
      <c r="CH545" s="4"/>
      <c r="CI545" s="4"/>
      <c r="CJ545" s="4"/>
      <c r="CK545" s="4"/>
      <c r="CL545" s="4"/>
      <c r="CM545" s="4"/>
      <c r="CN545" s="4"/>
      <c r="CO545" s="4"/>
      <c r="CP545" s="4"/>
      <c r="CQ545" s="4"/>
      <c r="CR545" s="4"/>
      <c r="CS545" s="4"/>
      <c r="CT545" s="4"/>
      <c r="CU545" s="4"/>
      <c r="CV545" s="4"/>
      <c r="CW545" s="4"/>
      <c r="CX545" s="4"/>
      <c r="CY545" s="4"/>
      <c r="CZ545" s="4"/>
      <c r="DA545" s="4"/>
      <c r="DB545" s="4"/>
      <c r="DC545" s="4"/>
      <c r="DD545" s="4"/>
      <c r="DE545" s="4"/>
      <c r="DF545" s="4"/>
      <c r="DG545" s="4"/>
      <c r="DH545" s="4"/>
      <c r="DI545" s="4"/>
      <c r="DJ545" s="4"/>
      <c r="DK545" s="4"/>
      <c r="DL545" s="4"/>
      <c r="DM545" s="4"/>
      <c r="DN545" s="4"/>
      <c r="DO545" s="4"/>
      <c r="DP545" s="4"/>
      <c r="DQ545" s="4"/>
      <c r="DR545" s="4"/>
      <c r="DS545" s="4"/>
      <c r="DT545" s="4"/>
      <c r="DU545" s="4"/>
      <c r="DV545" s="4"/>
      <c r="DW545" s="4"/>
      <c r="DX545" s="4"/>
      <c r="DY545" s="4"/>
      <c r="DZ545" s="4"/>
      <c r="EA545" s="4"/>
      <c r="EB545" s="4"/>
      <c r="EC545" s="4"/>
    </row>
    <row r="546" spans="1:133" s="13" customFormat="1" ht="94.5" x14ac:dyDescent="0.25">
      <c r="A546" s="129" t="s">
        <v>999</v>
      </c>
      <c r="B546" s="117" t="s">
        <v>1079</v>
      </c>
      <c r="C546" s="113" t="s">
        <v>1097</v>
      </c>
      <c r="D546" s="112" t="s">
        <v>1098</v>
      </c>
      <c r="E546" s="113">
        <v>35.04</v>
      </c>
      <c r="F546" s="113">
        <v>35.04</v>
      </c>
      <c r="G546" s="110" t="s">
        <v>1099</v>
      </c>
      <c r="H546" s="110" t="s">
        <v>1673</v>
      </c>
      <c r="I546" s="103" t="s">
        <v>1101</v>
      </c>
      <c r="J546" s="103" t="s">
        <v>1682</v>
      </c>
      <c r="K546" s="178">
        <v>0</v>
      </c>
      <c r="L546" s="179">
        <v>100</v>
      </c>
      <c r="M546" s="56" t="s">
        <v>172</v>
      </c>
      <c r="N546" s="56" t="s">
        <v>164</v>
      </c>
      <c r="O546" s="54" t="s">
        <v>511</v>
      </c>
      <c r="P546" s="58" t="s">
        <v>39</v>
      </c>
      <c r="Q546" s="171" t="s">
        <v>1680</v>
      </c>
      <c r="R546" s="182">
        <v>0</v>
      </c>
      <c r="S546" s="178">
        <v>30</v>
      </c>
      <c r="T546" s="178">
        <v>30</v>
      </c>
      <c r="U546" s="183">
        <v>40</v>
      </c>
      <c r="V546" s="59"/>
      <c r="W546" s="60"/>
      <c r="X546" s="60"/>
      <c r="Y546" s="60"/>
      <c r="Z546" s="60"/>
      <c r="AA546" s="61"/>
      <c r="AB546" s="62">
        <v>1000000000</v>
      </c>
      <c r="AC546" s="60"/>
      <c r="AD546" s="60"/>
      <c r="AE546" s="60"/>
      <c r="AF546" s="60"/>
      <c r="AG546" s="60"/>
      <c r="AH546" s="63"/>
      <c r="AI546" s="62">
        <v>1200000000</v>
      </c>
      <c r="AJ546" s="60"/>
      <c r="AK546" s="60"/>
      <c r="AL546" s="60"/>
      <c r="AM546" s="60"/>
      <c r="AN546" s="60"/>
      <c r="AO546" s="63"/>
      <c r="AP546" s="62">
        <v>800000000</v>
      </c>
      <c r="AQ546" s="60"/>
      <c r="AR546" s="60"/>
      <c r="AS546" s="60"/>
      <c r="AT546" s="60"/>
      <c r="AU546" s="60"/>
      <c r="AV546" s="64"/>
      <c r="AW546" s="55">
        <f t="shared" si="46"/>
        <v>0</v>
      </c>
      <c r="AX546" s="55">
        <f t="shared" si="47"/>
        <v>1000000000</v>
      </c>
      <c r="AY546" s="55">
        <f t="shared" si="48"/>
        <v>1200000000</v>
      </c>
      <c r="AZ546" s="55">
        <f t="shared" si="49"/>
        <v>800000000</v>
      </c>
      <c r="BA546" s="55">
        <f t="shared" si="50"/>
        <v>3000000000</v>
      </c>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row>
    <row r="547" spans="1:133" s="13" customFormat="1" ht="126" x14ac:dyDescent="0.25">
      <c r="A547" s="129" t="s">
        <v>999</v>
      </c>
      <c r="B547" s="117" t="s">
        <v>1079</v>
      </c>
      <c r="C547" s="113" t="s">
        <v>1097</v>
      </c>
      <c r="D547" s="112" t="s">
        <v>1098</v>
      </c>
      <c r="E547" s="113">
        <v>35.04</v>
      </c>
      <c r="F547" s="113">
        <v>35.04</v>
      </c>
      <c r="G547" s="110" t="s">
        <v>1099</v>
      </c>
      <c r="H547" s="110" t="s">
        <v>1674</v>
      </c>
      <c r="I547" s="103" t="s">
        <v>1103</v>
      </c>
      <c r="J547" s="103" t="s">
        <v>1682</v>
      </c>
      <c r="K547" s="178">
        <v>0</v>
      </c>
      <c r="L547" s="179">
        <v>100</v>
      </c>
      <c r="M547" s="56" t="s">
        <v>172</v>
      </c>
      <c r="N547" s="56" t="s">
        <v>164</v>
      </c>
      <c r="O547" s="54" t="s">
        <v>511</v>
      </c>
      <c r="P547" s="58" t="s">
        <v>39</v>
      </c>
      <c r="Q547" s="171" t="s">
        <v>1680</v>
      </c>
      <c r="R547" s="182">
        <v>0</v>
      </c>
      <c r="S547" s="178">
        <v>40</v>
      </c>
      <c r="T547" s="178">
        <v>30</v>
      </c>
      <c r="U547" s="183">
        <v>30</v>
      </c>
      <c r="V547" s="59"/>
      <c r="W547" s="60"/>
      <c r="X547" s="60"/>
      <c r="Y547" s="60"/>
      <c r="Z547" s="60"/>
      <c r="AA547" s="61"/>
      <c r="AB547" s="62">
        <v>3000000000</v>
      </c>
      <c r="AC547" s="60"/>
      <c r="AD547" s="60"/>
      <c r="AE547" s="60"/>
      <c r="AF547" s="60"/>
      <c r="AG547" s="60"/>
      <c r="AH547" s="63"/>
      <c r="AI547" s="62">
        <v>3000000000</v>
      </c>
      <c r="AJ547" s="60"/>
      <c r="AK547" s="60"/>
      <c r="AL547" s="60"/>
      <c r="AM547" s="60"/>
      <c r="AN547" s="60"/>
      <c r="AO547" s="63"/>
      <c r="AP547" s="62">
        <v>0</v>
      </c>
      <c r="AQ547" s="60"/>
      <c r="AR547" s="60"/>
      <c r="AS547" s="60"/>
      <c r="AT547" s="60"/>
      <c r="AU547" s="60"/>
      <c r="AV547" s="64"/>
      <c r="AW547" s="55">
        <f t="shared" si="46"/>
        <v>0</v>
      </c>
      <c r="AX547" s="55">
        <f t="shared" si="47"/>
        <v>3000000000</v>
      </c>
      <c r="AY547" s="55">
        <f t="shared" si="48"/>
        <v>3000000000</v>
      </c>
      <c r="AZ547" s="55">
        <f t="shared" si="49"/>
        <v>0</v>
      </c>
      <c r="BA547" s="55">
        <f t="shared" si="50"/>
        <v>6000000000</v>
      </c>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4"/>
      <c r="CF547" s="4"/>
      <c r="CG547" s="4"/>
      <c r="CH547" s="4"/>
      <c r="CI547" s="4"/>
      <c r="CJ547" s="4"/>
      <c r="CK547" s="4"/>
      <c r="CL547" s="4"/>
      <c r="CM547" s="4"/>
      <c r="CN547" s="4"/>
      <c r="CO547" s="4"/>
      <c r="CP547" s="4"/>
      <c r="CQ547" s="4"/>
      <c r="CR547" s="4"/>
      <c r="CS547" s="4"/>
      <c r="CT547" s="4"/>
      <c r="CU547" s="4"/>
      <c r="CV547" s="4"/>
      <c r="CW547" s="4"/>
      <c r="CX547" s="4"/>
      <c r="CY547" s="4"/>
      <c r="CZ547" s="4"/>
      <c r="DA547" s="4"/>
      <c r="DB547" s="4"/>
      <c r="DC547" s="4"/>
      <c r="DD547" s="4"/>
      <c r="DE547" s="4"/>
      <c r="DF547" s="4"/>
      <c r="DG547" s="4"/>
      <c r="DH547" s="4"/>
      <c r="DI547" s="4"/>
      <c r="DJ547" s="4"/>
      <c r="DK547" s="4"/>
      <c r="DL547" s="4"/>
      <c r="DM547" s="4"/>
      <c r="DN547" s="4"/>
      <c r="DO547" s="4"/>
      <c r="DP547" s="4"/>
      <c r="DQ547" s="4"/>
      <c r="DR547" s="4"/>
      <c r="DS547" s="4"/>
      <c r="DT547" s="4"/>
      <c r="DU547" s="4"/>
      <c r="DV547" s="4"/>
      <c r="DW547" s="4"/>
      <c r="DX547" s="4"/>
      <c r="DY547" s="4"/>
      <c r="DZ547" s="4"/>
      <c r="EA547" s="4"/>
      <c r="EB547" s="4"/>
      <c r="EC547" s="4"/>
    </row>
    <row r="548" spans="1:133" s="13" customFormat="1" ht="94.5" x14ac:dyDescent="0.25">
      <c r="A548" s="129" t="s">
        <v>999</v>
      </c>
      <c r="B548" s="117" t="s">
        <v>1079</v>
      </c>
      <c r="C548" s="113" t="s">
        <v>1097</v>
      </c>
      <c r="D548" s="112" t="s">
        <v>1098</v>
      </c>
      <c r="E548" s="113">
        <v>35.04</v>
      </c>
      <c r="F548" s="113">
        <v>35.04</v>
      </c>
      <c r="G548" s="110" t="s">
        <v>1104</v>
      </c>
      <c r="H548" s="110" t="s">
        <v>1675</v>
      </c>
      <c r="I548" s="103" t="s">
        <v>1105</v>
      </c>
      <c r="J548" s="103" t="s">
        <v>1683</v>
      </c>
      <c r="K548" s="56">
        <v>0</v>
      </c>
      <c r="L548" s="86">
        <v>5</v>
      </c>
      <c r="M548" s="56" t="s">
        <v>172</v>
      </c>
      <c r="N548" s="56" t="s">
        <v>164</v>
      </c>
      <c r="O548" s="54" t="s">
        <v>511</v>
      </c>
      <c r="P548" s="58" t="s">
        <v>39</v>
      </c>
      <c r="Q548" s="171" t="s">
        <v>1680</v>
      </c>
      <c r="R548" s="182">
        <v>0</v>
      </c>
      <c r="S548" s="178">
        <v>0</v>
      </c>
      <c r="T548" s="178">
        <v>5</v>
      </c>
      <c r="U548" s="183">
        <v>0</v>
      </c>
      <c r="V548" s="59"/>
      <c r="W548" s="60"/>
      <c r="X548" s="60"/>
      <c r="Y548" s="60"/>
      <c r="Z548" s="60"/>
      <c r="AA548" s="61"/>
      <c r="AB548" s="62">
        <v>700000000</v>
      </c>
      <c r="AC548" s="60"/>
      <c r="AD548" s="60"/>
      <c r="AE548" s="60"/>
      <c r="AF548" s="60"/>
      <c r="AG548" s="60"/>
      <c r="AH548" s="63"/>
      <c r="AI548" s="62">
        <v>0</v>
      </c>
      <c r="AJ548" s="60"/>
      <c r="AK548" s="60"/>
      <c r="AL548" s="60"/>
      <c r="AM548" s="60"/>
      <c r="AN548" s="60"/>
      <c r="AO548" s="63"/>
      <c r="AP548" s="62">
        <v>0</v>
      </c>
      <c r="AQ548" s="60"/>
      <c r="AR548" s="60"/>
      <c r="AS548" s="60"/>
      <c r="AT548" s="60"/>
      <c r="AU548" s="60"/>
      <c r="AV548" s="64"/>
      <c r="AW548" s="55">
        <f t="shared" si="46"/>
        <v>0</v>
      </c>
      <c r="AX548" s="55">
        <f t="shared" si="47"/>
        <v>700000000</v>
      </c>
      <c r="AY548" s="55">
        <f t="shared" si="48"/>
        <v>0</v>
      </c>
      <c r="AZ548" s="55">
        <f t="shared" si="49"/>
        <v>0</v>
      </c>
      <c r="BA548" s="55">
        <f t="shared" si="50"/>
        <v>700000000</v>
      </c>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4"/>
      <c r="CF548" s="4"/>
      <c r="CG548" s="4"/>
      <c r="CH548" s="4"/>
      <c r="CI548" s="4"/>
      <c r="CJ548" s="4"/>
      <c r="CK548" s="4"/>
      <c r="CL548" s="4"/>
      <c r="CM548" s="4"/>
      <c r="CN548" s="4"/>
      <c r="CO548" s="4"/>
      <c r="CP548" s="4"/>
      <c r="CQ548" s="4"/>
      <c r="CR548" s="4"/>
      <c r="CS548" s="4"/>
      <c r="CT548" s="4"/>
      <c r="CU548" s="4"/>
      <c r="CV548" s="4"/>
      <c r="CW548" s="4"/>
      <c r="CX548" s="4"/>
      <c r="CY548" s="4"/>
      <c r="CZ548" s="4"/>
      <c r="DA548" s="4"/>
      <c r="DB548" s="4"/>
      <c r="DC548" s="4"/>
      <c r="DD548" s="4"/>
      <c r="DE548" s="4"/>
      <c r="DF548" s="4"/>
      <c r="DG548" s="4"/>
      <c r="DH548" s="4"/>
      <c r="DI548" s="4"/>
      <c r="DJ548" s="4"/>
      <c r="DK548" s="4"/>
      <c r="DL548" s="4"/>
      <c r="DM548" s="4"/>
      <c r="DN548" s="4"/>
      <c r="DO548" s="4"/>
      <c r="DP548" s="4"/>
      <c r="DQ548" s="4"/>
      <c r="DR548" s="4"/>
      <c r="DS548" s="4"/>
      <c r="DT548" s="4"/>
      <c r="DU548" s="4"/>
      <c r="DV548" s="4"/>
      <c r="DW548" s="4"/>
      <c r="DX548" s="4"/>
      <c r="DY548" s="4"/>
      <c r="DZ548" s="4"/>
      <c r="EA548" s="4"/>
      <c r="EB548" s="4"/>
      <c r="EC548" s="4"/>
    </row>
    <row r="549" spans="1:133" s="13" customFormat="1" ht="94.5" x14ac:dyDescent="0.25">
      <c r="A549" s="129" t="s">
        <v>999</v>
      </c>
      <c r="B549" s="117" t="s">
        <v>1079</v>
      </c>
      <c r="C549" s="162" t="s">
        <v>1097</v>
      </c>
      <c r="D549" s="138" t="s">
        <v>1098</v>
      </c>
      <c r="E549" s="162">
        <v>35.04</v>
      </c>
      <c r="F549" s="162">
        <v>35.04</v>
      </c>
      <c r="G549" s="56" t="s">
        <v>1104</v>
      </c>
      <c r="H549" s="56" t="s">
        <v>1676</v>
      </c>
      <c r="I549" s="103" t="s">
        <v>1106</v>
      </c>
      <c r="J549" s="103" t="s">
        <v>1683</v>
      </c>
      <c r="K549" s="56">
        <v>2000</v>
      </c>
      <c r="L549" s="86">
        <v>3000</v>
      </c>
      <c r="M549" s="56" t="s">
        <v>172</v>
      </c>
      <c r="N549" s="56" t="s">
        <v>164</v>
      </c>
      <c r="O549" s="54" t="s">
        <v>511</v>
      </c>
      <c r="P549" s="58" t="s">
        <v>39</v>
      </c>
      <c r="Q549" s="171" t="s">
        <v>1680</v>
      </c>
      <c r="R549" s="182">
        <v>250</v>
      </c>
      <c r="S549" s="178">
        <v>900</v>
      </c>
      <c r="T549" s="178">
        <v>900</v>
      </c>
      <c r="U549" s="183">
        <v>950</v>
      </c>
      <c r="V549" s="59"/>
      <c r="W549" s="60">
        <v>700000000</v>
      </c>
      <c r="X549" s="60"/>
      <c r="Y549" s="60"/>
      <c r="Z549" s="60"/>
      <c r="AA549" s="61"/>
      <c r="AB549" s="62">
        <v>800000000</v>
      </c>
      <c r="AC549" s="60"/>
      <c r="AD549" s="60"/>
      <c r="AE549" s="60"/>
      <c r="AF549" s="60"/>
      <c r="AG549" s="60"/>
      <c r="AH549" s="63"/>
      <c r="AI549" s="62">
        <v>800000000</v>
      </c>
      <c r="AJ549" s="60"/>
      <c r="AK549" s="60"/>
      <c r="AL549" s="60"/>
      <c r="AM549" s="60"/>
      <c r="AN549" s="60"/>
      <c r="AO549" s="63"/>
      <c r="AP549" s="62">
        <v>850000000</v>
      </c>
      <c r="AQ549" s="60"/>
      <c r="AR549" s="60"/>
      <c r="AS549" s="60"/>
      <c r="AT549" s="60"/>
      <c r="AU549" s="60"/>
      <c r="AV549" s="64"/>
      <c r="AW549" s="55">
        <f t="shared" si="46"/>
        <v>700000000</v>
      </c>
      <c r="AX549" s="55">
        <f t="shared" si="47"/>
        <v>800000000</v>
      </c>
      <c r="AY549" s="55">
        <f t="shared" si="48"/>
        <v>800000000</v>
      </c>
      <c r="AZ549" s="55">
        <f t="shared" si="49"/>
        <v>850000000</v>
      </c>
      <c r="BA549" s="55">
        <f t="shared" si="50"/>
        <v>3150000000</v>
      </c>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4"/>
      <c r="CF549" s="4"/>
      <c r="CG549" s="4"/>
      <c r="CH549" s="4"/>
      <c r="CI549" s="4"/>
      <c r="CJ549" s="4"/>
      <c r="CK549" s="4"/>
      <c r="CL549" s="4"/>
      <c r="CM549" s="4"/>
      <c r="CN549" s="4"/>
      <c r="CO549" s="4"/>
      <c r="CP549" s="4"/>
      <c r="CQ549" s="4"/>
      <c r="CR549" s="4"/>
      <c r="CS549" s="4"/>
      <c r="CT549" s="4"/>
      <c r="CU549" s="4"/>
      <c r="CV549" s="4"/>
      <c r="CW549" s="4"/>
      <c r="CX549" s="4"/>
      <c r="CY549" s="4"/>
      <c r="CZ549" s="4"/>
      <c r="DA549" s="4"/>
      <c r="DB549" s="4"/>
      <c r="DC549" s="4"/>
      <c r="DD549" s="4"/>
      <c r="DE549" s="4"/>
      <c r="DF549" s="4"/>
      <c r="DG549" s="4"/>
      <c r="DH549" s="4"/>
      <c r="DI549" s="4"/>
      <c r="DJ549" s="4"/>
      <c r="DK549" s="4"/>
      <c r="DL549" s="4"/>
      <c r="DM549" s="4"/>
      <c r="DN549" s="4"/>
      <c r="DO549" s="4"/>
      <c r="DP549" s="4"/>
      <c r="DQ549" s="4"/>
      <c r="DR549" s="4"/>
      <c r="DS549" s="4"/>
      <c r="DT549" s="4"/>
      <c r="DU549" s="4"/>
      <c r="DV549" s="4"/>
      <c r="DW549" s="4"/>
      <c r="DX549" s="4"/>
      <c r="DY549" s="4"/>
      <c r="DZ549" s="4"/>
      <c r="EA549" s="4"/>
      <c r="EB549" s="4"/>
      <c r="EC549" s="4"/>
    </row>
  </sheetData>
  <autoFilter ref="A3:EC549" xr:uid="{00000000-0009-0000-0000-000000000000}"/>
  <mergeCells count="24">
    <mergeCell ref="L1:L3"/>
    <mergeCell ref="M1:M3"/>
    <mergeCell ref="Q1:Q3"/>
    <mergeCell ref="AI2:AO2"/>
    <mergeCell ref="O1:O3"/>
    <mergeCell ref="P1:P3"/>
    <mergeCell ref="R1:U2"/>
    <mergeCell ref="V2:AA2"/>
    <mergeCell ref="J1:J3"/>
    <mergeCell ref="H1:H3"/>
    <mergeCell ref="AW1:BA2"/>
    <mergeCell ref="A1:A3"/>
    <mergeCell ref="B1:B3"/>
    <mergeCell ref="C1:C3"/>
    <mergeCell ref="D1:D3"/>
    <mergeCell ref="E1:E3"/>
    <mergeCell ref="N1:N3"/>
    <mergeCell ref="F1:F3"/>
    <mergeCell ref="G1:G3"/>
    <mergeCell ref="I1:I3"/>
    <mergeCell ref="K1:K3"/>
    <mergeCell ref="AB2:AH2"/>
    <mergeCell ref="AP2:AV2"/>
    <mergeCell ref="V1:AV1"/>
  </mergeCells>
  <pageMargins left="0.70866141732283472" right="0.70866141732283472" top="0.74803149606299213" bottom="0.74803149606299213" header="0.31496062992125984" footer="0.31496062992125984"/>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I219"/>
  <sheetViews>
    <sheetView zoomScale="55" zoomScaleNormal="55" workbookViewId="0">
      <selection activeCell="N13" sqref="N13"/>
    </sheetView>
  </sheetViews>
  <sheetFormatPr baseColWidth="10" defaultColWidth="11.42578125" defaultRowHeight="15" x14ac:dyDescent="0.25"/>
  <cols>
    <col min="2" max="2" width="39.85546875" customWidth="1"/>
    <col min="3" max="3" width="58.28515625" customWidth="1"/>
    <col min="4" max="4" width="28.7109375" customWidth="1"/>
    <col min="5" max="5" width="17.85546875" customWidth="1"/>
    <col min="9" max="9" width="13.7109375" customWidth="1"/>
  </cols>
  <sheetData>
    <row r="2" spans="2:9" ht="15.75" thickBot="1" x14ac:dyDescent="0.3"/>
    <row r="3" spans="2:9" ht="19.5" thickBot="1" x14ac:dyDescent="0.35">
      <c r="B3" s="199" t="s">
        <v>1107</v>
      </c>
      <c r="C3" s="200"/>
      <c r="D3" s="200"/>
      <c r="E3" s="200"/>
      <c r="F3" s="200"/>
      <c r="G3" s="200"/>
      <c r="H3" s="200"/>
      <c r="I3" s="201"/>
    </row>
    <row r="4" spans="2:9" ht="31.5" x14ac:dyDescent="0.25">
      <c r="B4" s="53" t="s">
        <v>6</v>
      </c>
      <c r="C4" s="53" t="s">
        <v>1108</v>
      </c>
      <c r="D4" s="53" t="s">
        <v>9</v>
      </c>
      <c r="E4" s="53" t="s">
        <v>12</v>
      </c>
      <c r="F4" s="53" t="s">
        <v>1109</v>
      </c>
      <c r="G4" s="53" t="s">
        <v>1110</v>
      </c>
      <c r="H4" s="53" t="s">
        <v>1111</v>
      </c>
      <c r="I4" s="53" t="s">
        <v>1112</v>
      </c>
    </row>
    <row r="5" spans="2:9" ht="31.5" x14ac:dyDescent="0.25">
      <c r="B5" s="43" t="s">
        <v>75</v>
      </c>
      <c r="C5" s="43" t="s">
        <v>76</v>
      </c>
      <c r="D5" s="43" t="s">
        <v>36</v>
      </c>
      <c r="E5" s="43" t="s">
        <v>39</v>
      </c>
      <c r="F5" s="45">
        <v>40</v>
      </c>
      <c r="G5" s="45">
        <v>80</v>
      </c>
      <c r="H5" s="45">
        <v>120</v>
      </c>
      <c r="I5" s="46">
        <v>154</v>
      </c>
    </row>
    <row r="6" spans="2:9" ht="31.5" x14ac:dyDescent="0.25">
      <c r="B6" s="43" t="s">
        <v>68</v>
      </c>
      <c r="C6" s="43" t="s">
        <v>69</v>
      </c>
      <c r="D6" s="43" t="s">
        <v>36</v>
      </c>
      <c r="E6" s="43" t="s">
        <v>39</v>
      </c>
      <c r="F6" s="45">
        <v>0</v>
      </c>
      <c r="G6" s="45">
        <v>0</v>
      </c>
      <c r="H6" s="45">
        <v>0</v>
      </c>
      <c r="I6" s="46">
        <v>8</v>
      </c>
    </row>
    <row r="7" spans="2:9" ht="31.5" x14ac:dyDescent="0.25">
      <c r="B7" s="43" t="s">
        <v>88</v>
      </c>
      <c r="C7" s="43" t="s">
        <v>89</v>
      </c>
      <c r="D7" s="43" t="s">
        <v>36</v>
      </c>
      <c r="E7" s="43" t="s">
        <v>42</v>
      </c>
      <c r="F7" s="44">
        <v>1</v>
      </c>
      <c r="G7" s="44">
        <v>1</v>
      </c>
      <c r="H7" s="44">
        <v>1</v>
      </c>
      <c r="I7" s="44">
        <v>1</v>
      </c>
    </row>
    <row r="8" spans="2:9" ht="16.5" thickBot="1" x14ac:dyDescent="0.3">
      <c r="B8" s="43"/>
      <c r="C8" s="47"/>
      <c r="D8" s="43"/>
      <c r="E8" s="43"/>
      <c r="F8" s="44"/>
      <c r="G8" s="44"/>
      <c r="H8" s="44"/>
      <c r="I8" s="44"/>
    </row>
    <row r="9" spans="2:9" ht="19.5" thickBot="1" x14ac:dyDescent="0.35">
      <c r="B9" s="199" t="s">
        <v>1113</v>
      </c>
      <c r="C9" s="200"/>
      <c r="D9" s="200"/>
      <c r="E9" s="200"/>
      <c r="F9" s="200"/>
      <c r="G9" s="200"/>
      <c r="H9" s="200"/>
      <c r="I9" s="201"/>
    </row>
    <row r="10" spans="2:9" ht="31.5" x14ac:dyDescent="0.25">
      <c r="B10" s="53" t="s">
        <v>6</v>
      </c>
      <c r="C10" s="53" t="s">
        <v>1108</v>
      </c>
      <c r="D10" s="53" t="s">
        <v>9</v>
      </c>
      <c r="E10" s="53" t="s">
        <v>12</v>
      </c>
      <c r="F10" s="53" t="s">
        <v>1109</v>
      </c>
      <c r="G10" s="53" t="s">
        <v>1110</v>
      </c>
      <c r="H10" s="53" t="s">
        <v>1111</v>
      </c>
      <c r="I10" s="53" t="s">
        <v>1112</v>
      </c>
    </row>
    <row r="11" spans="2:9" ht="31.5" x14ac:dyDescent="0.25">
      <c r="B11" s="43" t="s">
        <v>99</v>
      </c>
      <c r="C11" s="43" t="s">
        <v>100</v>
      </c>
      <c r="D11" s="43" t="s">
        <v>96</v>
      </c>
      <c r="E11" s="43" t="s">
        <v>39</v>
      </c>
      <c r="F11" s="44">
        <v>0</v>
      </c>
      <c r="G11" s="44">
        <v>0.2</v>
      </c>
      <c r="H11" s="44">
        <v>0.5</v>
      </c>
      <c r="I11" s="44">
        <v>1</v>
      </c>
    </row>
    <row r="12" spans="2:9" ht="47.25" x14ac:dyDescent="0.25">
      <c r="B12" s="43" t="s">
        <v>109</v>
      </c>
      <c r="C12" s="43" t="s">
        <v>110</v>
      </c>
      <c r="D12" s="43" t="s">
        <v>96</v>
      </c>
      <c r="E12" s="43" t="s">
        <v>39</v>
      </c>
      <c r="F12" s="44">
        <v>0.2</v>
      </c>
      <c r="G12" s="44">
        <v>0.6</v>
      </c>
      <c r="H12" s="44">
        <v>0.8</v>
      </c>
      <c r="I12" s="44">
        <v>1</v>
      </c>
    </row>
    <row r="13" spans="2:9" ht="47.25" x14ac:dyDescent="0.25">
      <c r="B13" s="43" t="s">
        <v>141</v>
      </c>
      <c r="C13" s="43" t="s">
        <v>142</v>
      </c>
      <c r="D13" s="43" t="s">
        <v>96</v>
      </c>
      <c r="E13" s="43" t="s">
        <v>39</v>
      </c>
      <c r="F13" s="48">
        <v>0.2</v>
      </c>
      <c r="G13" s="48">
        <v>0.6</v>
      </c>
      <c r="H13" s="48">
        <v>0.7</v>
      </c>
      <c r="I13" s="48">
        <v>1</v>
      </c>
    </row>
    <row r="14" spans="2:9" ht="31.5" x14ac:dyDescent="0.25">
      <c r="B14" s="43" t="s">
        <v>155</v>
      </c>
      <c r="C14" s="43" t="s">
        <v>156</v>
      </c>
      <c r="D14" s="43" t="s">
        <v>96</v>
      </c>
      <c r="E14" s="43" t="s">
        <v>39</v>
      </c>
      <c r="F14" s="48">
        <v>0.1</v>
      </c>
      <c r="G14" s="48">
        <v>0.3</v>
      </c>
      <c r="H14" s="48">
        <v>0.7</v>
      </c>
      <c r="I14" s="48">
        <v>1</v>
      </c>
    </row>
    <row r="15" spans="2:9" ht="16.5" thickBot="1" x14ac:dyDescent="0.3">
      <c r="B15" s="49"/>
      <c r="C15" s="49"/>
      <c r="D15" s="49"/>
      <c r="E15" s="50"/>
      <c r="F15" s="51"/>
      <c r="G15" s="51"/>
      <c r="H15" s="51"/>
      <c r="I15" s="51"/>
    </row>
    <row r="16" spans="2:9" ht="19.5" thickBot="1" x14ac:dyDescent="0.35">
      <c r="B16" s="199" t="s">
        <v>1114</v>
      </c>
      <c r="C16" s="200"/>
      <c r="D16" s="200"/>
      <c r="E16" s="200"/>
      <c r="F16" s="200"/>
      <c r="G16" s="200"/>
      <c r="H16" s="200"/>
      <c r="I16" s="201"/>
    </row>
    <row r="17" spans="2:9" ht="31.5" x14ac:dyDescent="0.25">
      <c r="B17" s="53" t="s">
        <v>6</v>
      </c>
      <c r="C17" s="53" t="s">
        <v>1108</v>
      </c>
      <c r="D17" s="53" t="s">
        <v>9</v>
      </c>
      <c r="E17" s="53" t="s">
        <v>12</v>
      </c>
      <c r="F17" s="53" t="s">
        <v>1109</v>
      </c>
      <c r="G17" s="53" t="s">
        <v>1110</v>
      </c>
      <c r="H17" s="53" t="s">
        <v>1111</v>
      </c>
      <c r="I17" s="53" t="s">
        <v>1112</v>
      </c>
    </row>
    <row r="18" spans="2:9" ht="63" x14ac:dyDescent="0.25">
      <c r="B18" s="43" t="s">
        <v>168</v>
      </c>
      <c r="C18" s="43" t="s">
        <v>169</v>
      </c>
      <c r="D18" s="43" t="s">
        <v>163</v>
      </c>
      <c r="E18" s="43" t="s">
        <v>39</v>
      </c>
      <c r="F18" s="43">
        <v>0</v>
      </c>
      <c r="G18" s="43">
        <v>2</v>
      </c>
      <c r="H18" s="43">
        <v>2</v>
      </c>
      <c r="I18" s="43">
        <v>1</v>
      </c>
    </row>
    <row r="19" spans="2:9" ht="31.5" x14ac:dyDescent="0.25">
      <c r="B19" s="43" t="s">
        <v>1115</v>
      </c>
      <c r="C19" s="43" t="s">
        <v>186</v>
      </c>
      <c r="D19" s="43" t="s">
        <v>175</v>
      </c>
      <c r="E19" s="43" t="s">
        <v>39</v>
      </c>
      <c r="F19" s="44">
        <v>0.8</v>
      </c>
      <c r="G19" s="44">
        <v>0.2</v>
      </c>
      <c r="H19" s="44">
        <v>0</v>
      </c>
      <c r="I19" s="44">
        <v>0</v>
      </c>
    </row>
    <row r="20" spans="2:9" ht="31.5" x14ac:dyDescent="0.25">
      <c r="B20" s="43" t="s">
        <v>191</v>
      </c>
      <c r="C20" s="43" t="s">
        <v>192</v>
      </c>
      <c r="D20" s="43" t="s">
        <v>175</v>
      </c>
      <c r="E20" s="43" t="s">
        <v>39</v>
      </c>
      <c r="F20" s="44">
        <v>0</v>
      </c>
      <c r="G20" s="44">
        <v>0.05</v>
      </c>
      <c r="H20" s="44">
        <v>0.45</v>
      </c>
      <c r="I20" s="44">
        <v>0.5</v>
      </c>
    </row>
    <row r="21" spans="2:9" ht="63" x14ac:dyDescent="0.25">
      <c r="B21" s="43" t="s">
        <v>206</v>
      </c>
      <c r="C21" s="43" t="s">
        <v>207</v>
      </c>
      <c r="D21" s="43" t="s">
        <v>202</v>
      </c>
      <c r="E21" s="43" t="s">
        <v>39</v>
      </c>
      <c r="F21" s="43">
        <v>0</v>
      </c>
      <c r="G21" s="43">
        <v>500</v>
      </c>
      <c r="H21" s="43">
        <v>500</v>
      </c>
      <c r="I21" s="43">
        <v>1000</v>
      </c>
    </row>
    <row r="22" spans="2:9" ht="47.25" x14ac:dyDescent="0.25">
      <c r="B22" s="43" t="s">
        <v>208</v>
      </c>
      <c r="C22" s="43" t="s">
        <v>209</v>
      </c>
      <c r="D22" s="43" t="s">
        <v>202</v>
      </c>
      <c r="E22" s="43" t="s">
        <v>39</v>
      </c>
      <c r="F22" s="43">
        <v>0</v>
      </c>
      <c r="G22" s="43">
        <v>0</v>
      </c>
      <c r="H22" s="43">
        <v>0</v>
      </c>
      <c r="I22" s="43">
        <v>3.2</v>
      </c>
    </row>
    <row r="23" spans="2:9" ht="31.5" x14ac:dyDescent="0.25">
      <c r="B23" s="43" t="s">
        <v>212</v>
      </c>
      <c r="C23" s="43" t="s">
        <v>213</v>
      </c>
      <c r="D23" s="43" t="s">
        <v>202</v>
      </c>
      <c r="E23" s="43" t="s">
        <v>39</v>
      </c>
      <c r="F23" s="44">
        <v>0</v>
      </c>
      <c r="G23" s="44">
        <v>0.5</v>
      </c>
      <c r="H23" s="44">
        <v>0.5</v>
      </c>
      <c r="I23" s="44">
        <v>0</v>
      </c>
    </row>
    <row r="24" spans="2:9" ht="31.5" x14ac:dyDescent="0.25">
      <c r="B24" s="43" t="s">
        <v>216</v>
      </c>
      <c r="C24" s="43" t="s">
        <v>1116</v>
      </c>
      <c r="D24" s="43" t="s">
        <v>202</v>
      </c>
      <c r="E24" s="43" t="s">
        <v>39</v>
      </c>
      <c r="F24" s="44">
        <v>0</v>
      </c>
      <c r="G24" s="44">
        <v>0.2</v>
      </c>
      <c r="H24" s="44">
        <v>0.3</v>
      </c>
      <c r="I24" s="44">
        <v>0.5</v>
      </c>
    </row>
    <row r="25" spans="2:9" ht="47.25" x14ac:dyDescent="0.25">
      <c r="B25" s="43" t="s">
        <v>218</v>
      </c>
      <c r="C25" s="43" t="s">
        <v>1117</v>
      </c>
      <c r="D25" s="43" t="s">
        <v>220</v>
      </c>
      <c r="E25" s="43" t="s">
        <v>39</v>
      </c>
      <c r="F25" s="43">
        <v>1</v>
      </c>
      <c r="G25" s="43">
        <v>2</v>
      </c>
      <c r="H25" s="43">
        <v>3</v>
      </c>
      <c r="I25" s="43">
        <v>2</v>
      </c>
    </row>
    <row r="26" spans="2:9" ht="16.5" thickBot="1" x14ac:dyDescent="0.3">
      <c r="B26" s="49"/>
      <c r="C26" s="50"/>
      <c r="D26" s="50"/>
      <c r="E26" s="50"/>
      <c r="F26" s="50"/>
      <c r="G26" s="50"/>
      <c r="H26" s="50"/>
      <c r="I26" s="50"/>
    </row>
    <row r="27" spans="2:9" ht="19.5" thickBot="1" x14ac:dyDescent="0.35">
      <c r="B27" s="199" t="s">
        <v>1118</v>
      </c>
      <c r="C27" s="200"/>
      <c r="D27" s="200"/>
      <c r="E27" s="200"/>
      <c r="F27" s="200"/>
      <c r="G27" s="200"/>
      <c r="H27" s="200"/>
      <c r="I27" s="201"/>
    </row>
    <row r="28" spans="2:9" ht="31.5" x14ac:dyDescent="0.25">
      <c r="B28" s="53" t="s">
        <v>6</v>
      </c>
      <c r="C28" s="53" t="s">
        <v>1108</v>
      </c>
      <c r="D28" s="53" t="s">
        <v>9</v>
      </c>
      <c r="E28" s="53" t="s">
        <v>12</v>
      </c>
      <c r="F28" s="53" t="s">
        <v>1109</v>
      </c>
      <c r="G28" s="53" t="s">
        <v>1110</v>
      </c>
      <c r="H28" s="53" t="s">
        <v>1111</v>
      </c>
      <c r="I28" s="53" t="s">
        <v>1112</v>
      </c>
    </row>
    <row r="29" spans="2:9" ht="31.5" x14ac:dyDescent="0.25">
      <c r="B29" s="197" t="s">
        <v>237</v>
      </c>
      <c r="C29" s="43" t="s">
        <v>238</v>
      </c>
      <c r="D29" s="43" t="s">
        <v>234</v>
      </c>
      <c r="E29" s="43" t="s">
        <v>39</v>
      </c>
      <c r="F29" s="44">
        <v>0.2</v>
      </c>
      <c r="G29" s="44">
        <v>0.2</v>
      </c>
      <c r="H29" s="44">
        <v>0.3</v>
      </c>
      <c r="I29" s="44">
        <v>0.3</v>
      </c>
    </row>
    <row r="30" spans="2:9" ht="31.5" x14ac:dyDescent="0.25">
      <c r="B30" s="207"/>
      <c r="C30" s="43" t="s">
        <v>239</v>
      </c>
      <c r="D30" s="43" t="s">
        <v>234</v>
      </c>
      <c r="E30" s="43" t="s">
        <v>39</v>
      </c>
      <c r="F30" s="52">
        <v>2</v>
      </c>
      <c r="G30" s="52">
        <v>3</v>
      </c>
      <c r="H30" s="52">
        <v>3</v>
      </c>
      <c r="I30" s="52">
        <v>2</v>
      </c>
    </row>
    <row r="31" spans="2:9" ht="31.5" x14ac:dyDescent="0.25">
      <c r="B31" s="43" t="s">
        <v>252</v>
      </c>
      <c r="C31" s="43" t="s">
        <v>253</v>
      </c>
      <c r="D31" s="43" t="s">
        <v>234</v>
      </c>
      <c r="E31" s="43" t="s">
        <v>42</v>
      </c>
      <c r="F31" s="44">
        <v>1</v>
      </c>
      <c r="G31" s="44">
        <v>1</v>
      </c>
      <c r="H31" s="44">
        <v>1</v>
      </c>
      <c r="I31" s="44">
        <v>1</v>
      </c>
    </row>
    <row r="32" spans="2:9" ht="31.5" x14ac:dyDescent="0.25">
      <c r="B32" s="197" t="s">
        <v>1119</v>
      </c>
      <c r="C32" s="43" t="s">
        <v>1120</v>
      </c>
      <c r="D32" s="43" t="s">
        <v>234</v>
      </c>
      <c r="E32" s="43" t="s">
        <v>42</v>
      </c>
      <c r="F32" s="43">
        <v>800</v>
      </c>
      <c r="G32" s="43">
        <v>800</v>
      </c>
      <c r="H32" s="43">
        <v>800</v>
      </c>
      <c r="I32" s="43">
        <v>800</v>
      </c>
    </row>
    <row r="33" spans="2:9" ht="31.5" x14ac:dyDescent="0.25">
      <c r="B33" s="206"/>
      <c r="C33" s="43" t="s">
        <v>1121</v>
      </c>
      <c r="D33" s="43" t="s">
        <v>234</v>
      </c>
      <c r="E33" s="43" t="s">
        <v>39</v>
      </c>
      <c r="F33" s="43">
        <v>4000</v>
      </c>
      <c r="G33" s="43">
        <v>4000</v>
      </c>
      <c r="H33" s="43">
        <v>4000</v>
      </c>
      <c r="I33" s="43">
        <v>4000</v>
      </c>
    </row>
    <row r="34" spans="2:9" ht="47.25" x14ac:dyDescent="0.25">
      <c r="B34" s="206"/>
      <c r="C34" s="43" t="s">
        <v>1122</v>
      </c>
      <c r="D34" s="43" t="s">
        <v>261</v>
      </c>
      <c r="E34" s="43" t="s">
        <v>39</v>
      </c>
      <c r="F34" s="43">
        <v>0</v>
      </c>
      <c r="G34" s="43">
        <v>50</v>
      </c>
      <c r="H34" s="43">
        <v>50</v>
      </c>
      <c r="I34" s="43">
        <v>100</v>
      </c>
    </row>
    <row r="35" spans="2:9" ht="63" x14ac:dyDescent="0.25">
      <c r="B35" s="207"/>
      <c r="C35" s="43" t="s">
        <v>40</v>
      </c>
      <c r="D35" s="43" t="s">
        <v>234</v>
      </c>
      <c r="E35" s="43"/>
      <c r="F35" s="44">
        <v>1</v>
      </c>
      <c r="G35" s="44">
        <v>1</v>
      </c>
      <c r="H35" s="44">
        <v>1</v>
      </c>
      <c r="I35" s="44">
        <v>1</v>
      </c>
    </row>
    <row r="36" spans="2:9" ht="47.25" x14ac:dyDescent="0.25">
      <c r="B36" s="43" t="s">
        <v>262</v>
      </c>
      <c r="C36" s="43" t="s">
        <v>1123</v>
      </c>
      <c r="D36" s="43" t="s">
        <v>234</v>
      </c>
      <c r="E36" s="43" t="s">
        <v>39</v>
      </c>
      <c r="F36" s="43">
        <v>0</v>
      </c>
      <c r="G36" s="43">
        <v>50</v>
      </c>
      <c r="H36" s="43">
        <v>100</v>
      </c>
      <c r="I36" s="43">
        <v>150</v>
      </c>
    </row>
    <row r="37" spans="2:9" ht="31.5" x14ac:dyDescent="0.25">
      <c r="B37" s="43" t="s">
        <v>264</v>
      </c>
      <c r="C37" s="43" t="s">
        <v>265</v>
      </c>
      <c r="D37" s="43" t="s">
        <v>234</v>
      </c>
      <c r="E37" s="43" t="s">
        <v>39</v>
      </c>
      <c r="F37" s="43">
        <v>400</v>
      </c>
      <c r="G37" s="43">
        <v>500</v>
      </c>
      <c r="H37" s="43">
        <v>1000</v>
      </c>
      <c r="I37" s="43">
        <v>1000</v>
      </c>
    </row>
    <row r="38" spans="2:9" ht="47.25" x14ac:dyDescent="0.25">
      <c r="B38" s="43" t="s">
        <v>272</v>
      </c>
      <c r="C38" s="43" t="s">
        <v>273</v>
      </c>
      <c r="D38" s="43" t="s">
        <v>234</v>
      </c>
      <c r="E38" s="43" t="s">
        <v>39</v>
      </c>
      <c r="F38" s="44">
        <v>0</v>
      </c>
      <c r="G38" s="44">
        <v>0.2</v>
      </c>
      <c r="H38" s="44">
        <v>0.5</v>
      </c>
      <c r="I38" s="44">
        <v>0.3</v>
      </c>
    </row>
    <row r="39" spans="2:9" ht="63" x14ac:dyDescent="0.25">
      <c r="B39" s="43" t="s">
        <v>287</v>
      </c>
      <c r="C39" s="43" t="s">
        <v>288</v>
      </c>
      <c r="D39" s="43" t="s">
        <v>234</v>
      </c>
      <c r="E39" s="43" t="s">
        <v>39</v>
      </c>
      <c r="F39" s="44">
        <v>0</v>
      </c>
      <c r="G39" s="44">
        <v>0.3</v>
      </c>
      <c r="H39" s="44">
        <v>0.3</v>
      </c>
      <c r="I39" s="44">
        <v>0.4</v>
      </c>
    </row>
    <row r="40" spans="2:9" ht="63" x14ac:dyDescent="0.25">
      <c r="B40" s="43" t="s">
        <v>1124</v>
      </c>
      <c r="C40" s="43" t="s">
        <v>293</v>
      </c>
      <c r="D40" s="43" t="s">
        <v>234</v>
      </c>
      <c r="E40" s="43" t="s">
        <v>39</v>
      </c>
      <c r="F40" s="44">
        <v>0</v>
      </c>
      <c r="G40" s="44">
        <v>0.3</v>
      </c>
      <c r="H40" s="44">
        <v>0.3</v>
      </c>
      <c r="I40" s="44">
        <v>0.4</v>
      </c>
    </row>
    <row r="41" spans="2:9" ht="47.25" x14ac:dyDescent="0.25">
      <c r="B41" s="43" t="s">
        <v>320</v>
      </c>
      <c r="C41" s="43" t="s">
        <v>321</v>
      </c>
      <c r="D41" s="43" t="s">
        <v>302</v>
      </c>
      <c r="E41" s="43" t="s">
        <v>39</v>
      </c>
      <c r="F41" s="44">
        <v>0</v>
      </c>
      <c r="G41" s="44">
        <v>0.2</v>
      </c>
      <c r="H41" s="44">
        <v>0.3</v>
      </c>
      <c r="I41" s="44">
        <v>0.5</v>
      </c>
    </row>
    <row r="42" spans="2:9" ht="31.5" x14ac:dyDescent="0.25">
      <c r="B42" s="43" t="s">
        <v>331</v>
      </c>
      <c r="C42" s="43" t="s">
        <v>332</v>
      </c>
      <c r="D42" s="43" t="s">
        <v>333</v>
      </c>
      <c r="E42" s="43" t="s">
        <v>39</v>
      </c>
      <c r="F42" s="44">
        <v>0</v>
      </c>
      <c r="G42" s="44">
        <v>0.3</v>
      </c>
      <c r="H42" s="44">
        <v>0.3</v>
      </c>
      <c r="I42" s="44">
        <v>0.4</v>
      </c>
    </row>
    <row r="43" spans="2:9" ht="31.5" x14ac:dyDescent="0.25">
      <c r="B43" s="43" t="s">
        <v>352</v>
      </c>
      <c r="C43" s="43" t="s">
        <v>353</v>
      </c>
      <c r="D43" s="43" t="s">
        <v>337</v>
      </c>
      <c r="E43" s="43" t="s">
        <v>42</v>
      </c>
      <c r="F43" s="43">
        <v>1</v>
      </c>
      <c r="G43" s="43">
        <v>1</v>
      </c>
      <c r="H43" s="43">
        <v>1</v>
      </c>
      <c r="I43" s="43">
        <v>1</v>
      </c>
    </row>
    <row r="44" spans="2:9" ht="47.25" x14ac:dyDescent="0.25">
      <c r="B44" s="43" t="s">
        <v>1125</v>
      </c>
      <c r="C44" s="43" t="s">
        <v>355</v>
      </c>
      <c r="D44" s="43" t="s">
        <v>337</v>
      </c>
      <c r="E44" s="43" t="s">
        <v>42</v>
      </c>
      <c r="F44" s="44">
        <v>1</v>
      </c>
      <c r="G44" s="44">
        <v>1</v>
      </c>
      <c r="H44" s="44">
        <v>1</v>
      </c>
      <c r="I44" s="44">
        <v>1</v>
      </c>
    </row>
    <row r="45" spans="2:9" ht="31.5" x14ac:dyDescent="0.25">
      <c r="B45" s="43" t="s">
        <v>356</v>
      </c>
      <c r="C45" s="43" t="s">
        <v>357</v>
      </c>
      <c r="D45" s="43" t="s">
        <v>337</v>
      </c>
      <c r="E45" s="43" t="s">
        <v>39</v>
      </c>
      <c r="F45" s="43">
        <v>3</v>
      </c>
      <c r="G45" s="43">
        <v>5</v>
      </c>
      <c r="H45" s="43">
        <v>6</v>
      </c>
      <c r="I45" s="43">
        <v>6</v>
      </c>
    </row>
    <row r="46" spans="2:9" ht="48" thickBot="1" x14ac:dyDescent="0.3">
      <c r="B46" s="43" t="s">
        <v>358</v>
      </c>
      <c r="C46" s="43" t="s">
        <v>359</v>
      </c>
      <c r="D46" s="43" t="s">
        <v>337</v>
      </c>
      <c r="E46" s="43" t="s">
        <v>39</v>
      </c>
      <c r="F46" s="43">
        <v>3</v>
      </c>
      <c r="G46" s="43">
        <v>3</v>
      </c>
      <c r="H46" s="43">
        <v>3</v>
      </c>
      <c r="I46" s="43">
        <v>3</v>
      </c>
    </row>
    <row r="47" spans="2:9" ht="19.5" thickBot="1" x14ac:dyDescent="0.35">
      <c r="B47" s="199" t="s">
        <v>361</v>
      </c>
      <c r="C47" s="200"/>
      <c r="D47" s="200"/>
      <c r="E47" s="200"/>
      <c r="F47" s="200"/>
      <c r="G47" s="200"/>
      <c r="H47" s="200"/>
      <c r="I47" s="201"/>
    </row>
    <row r="48" spans="2:9" ht="31.5" x14ac:dyDescent="0.25">
      <c r="B48" s="53" t="s">
        <v>6</v>
      </c>
      <c r="C48" s="53" t="s">
        <v>1108</v>
      </c>
      <c r="D48" s="53" t="s">
        <v>9</v>
      </c>
      <c r="E48" s="53" t="s">
        <v>12</v>
      </c>
      <c r="F48" s="53" t="s">
        <v>1109</v>
      </c>
      <c r="G48" s="53" t="s">
        <v>1110</v>
      </c>
      <c r="H48" s="53" t="s">
        <v>1111</v>
      </c>
      <c r="I48" s="53" t="s">
        <v>1112</v>
      </c>
    </row>
    <row r="49" spans="2:9" ht="47.25" x14ac:dyDescent="0.25">
      <c r="B49" s="197" t="s">
        <v>373</v>
      </c>
      <c r="C49" s="43" t="s">
        <v>374</v>
      </c>
      <c r="D49" s="43" t="s">
        <v>368</v>
      </c>
      <c r="E49" s="43" t="s">
        <v>39</v>
      </c>
      <c r="F49" s="43">
        <v>1</v>
      </c>
      <c r="G49" s="43">
        <v>3</v>
      </c>
      <c r="H49" s="43">
        <v>3</v>
      </c>
      <c r="I49" s="43">
        <v>4</v>
      </c>
    </row>
    <row r="50" spans="2:9" ht="47.25" x14ac:dyDescent="0.25">
      <c r="B50" s="198"/>
      <c r="C50" s="43" t="s">
        <v>377</v>
      </c>
      <c r="D50" s="43" t="s">
        <v>368</v>
      </c>
      <c r="E50" s="43" t="s">
        <v>39</v>
      </c>
      <c r="F50" s="44">
        <v>0</v>
      </c>
      <c r="G50" s="44">
        <v>0</v>
      </c>
      <c r="H50" s="44">
        <v>0.5</v>
      </c>
      <c r="I50" s="44">
        <v>0.5</v>
      </c>
    </row>
    <row r="51" spans="2:9" ht="31.5" x14ac:dyDescent="0.25">
      <c r="B51" s="43" t="s">
        <v>411</v>
      </c>
      <c r="C51" s="43" t="s">
        <v>412</v>
      </c>
      <c r="D51" s="43" t="s">
        <v>337</v>
      </c>
      <c r="E51" s="43" t="s">
        <v>39</v>
      </c>
      <c r="F51" s="44">
        <v>0</v>
      </c>
      <c r="G51" s="44">
        <v>0.3</v>
      </c>
      <c r="H51" s="44">
        <v>0.5</v>
      </c>
      <c r="I51" s="44">
        <v>0.2</v>
      </c>
    </row>
    <row r="52" spans="2:9" ht="45" customHeight="1" x14ac:dyDescent="0.25">
      <c r="B52" s="197" t="s">
        <v>421</v>
      </c>
      <c r="C52" s="43" t="s">
        <v>422</v>
      </c>
      <c r="D52" s="43" t="s">
        <v>337</v>
      </c>
      <c r="E52" s="43" t="s">
        <v>39</v>
      </c>
      <c r="F52" s="43">
        <v>0</v>
      </c>
      <c r="G52" s="43">
        <v>1</v>
      </c>
      <c r="H52" s="43">
        <v>2</v>
      </c>
      <c r="I52" s="43">
        <v>2</v>
      </c>
    </row>
    <row r="53" spans="2:9" ht="55.5" customHeight="1" x14ac:dyDescent="0.25">
      <c r="B53" s="202"/>
      <c r="C53" s="43" t="s">
        <v>423</v>
      </c>
      <c r="D53" s="43" t="s">
        <v>337</v>
      </c>
      <c r="E53" s="43" t="s">
        <v>39</v>
      </c>
      <c r="F53" s="43">
        <v>0</v>
      </c>
      <c r="G53" s="43">
        <v>12</v>
      </c>
      <c r="H53" s="43">
        <v>17</v>
      </c>
      <c r="I53" s="43">
        <v>20</v>
      </c>
    </row>
    <row r="54" spans="2:9" ht="39.75" customHeight="1" x14ac:dyDescent="0.25">
      <c r="B54" s="202"/>
      <c r="C54" s="43" t="s">
        <v>424</v>
      </c>
      <c r="D54" s="43" t="s">
        <v>337</v>
      </c>
      <c r="E54" s="43" t="s">
        <v>39</v>
      </c>
      <c r="F54" s="43">
        <v>0</v>
      </c>
      <c r="G54" s="43">
        <v>1</v>
      </c>
      <c r="H54" s="43">
        <v>2</v>
      </c>
      <c r="I54" s="43">
        <v>3</v>
      </c>
    </row>
    <row r="55" spans="2:9" ht="42.75" customHeight="1" x14ac:dyDescent="0.25">
      <c r="B55" s="202"/>
      <c r="C55" s="43" t="s">
        <v>425</v>
      </c>
      <c r="D55" s="43" t="s">
        <v>337</v>
      </c>
      <c r="E55" s="43" t="s">
        <v>39</v>
      </c>
      <c r="F55" s="43">
        <v>0</v>
      </c>
      <c r="G55" s="43">
        <v>1</v>
      </c>
      <c r="H55" s="43">
        <v>1</v>
      </c>
      <c r="I55" s="43">
        <v>0</v>
      </c>
    </row>
    <row r="56" spans="2:9" ht="45" customHeight="1" x14ac:dyDescent="0.25">
      <c r="B56" s="198"/>
      <c r="C56" s="43" t="s">
        <v>426</v>
      </c>
      <c r="D56" s="43" t="s">
        <v>337</v>
      </c>
      <c r="E56" s="43" t="s">
        <v>39</v>
      </c>
      <c r="F56" s="43">
        <v>0</v>
      </c>
      <c r="G56" s="43">
        <v>4</v>
      </c>
      <c r="H56" s="43">
        <v>4</v>
      </c>
      <c r="I56" s="43">
        <v>3</v>
      </c>
    </row>
    <row r="57" spans="2:9" ht="85.5" customHeight="1" x14ac:dyDescent="0.25">
      <c r="B57" s="43" t="s">
        <v>429</v>
      </c>
      <c r="C57" s="43" t="s">
        <v>430</v>
      </c>
      <c r="D57" s="43" t="s">
        <v>337</v>
      </c>
      <c r="E57" s="43" t="s">
        <v>39</v>
      </c>
      <c r="F57" s="43">
        <v>0</v>
      </c>
      <c r="G57" s="43">
        <v>0</v>
      </c>
      <c r="H57" s="43">
        <v>1</v>
      </c>
      <c r="I57" s="43">
        <v>1</v>
      </c>
    </row>
    <row r="58" spans="2:9" ht="58.5" customHeight="1" x14ac:dyDescent="0.25">
      <c r="B58" s="43" t="s">
        <v>431</v>
      </c>
      <c r="C58" s="43" t="s">
        <v>432</v>
      </c>
      <c r="D58" s="43" t="s">
        <v>337</v>
      </c>
      <c r="E58" s="43" t="s">
        <v>39</v>
      </c>
      <c r="F58" s="43">
        <v>0</v>
      </c>
      <c r="G58" s="43">
        <v>40</v>
      </c>
      <c r="H58" s="43">
        <v>57</v>
      </c>
      <c r="I58" s="43">
        <v>50</v>
      </c>
    </row>
    <row r="59" spans="2:9" ht="54" customHeight="1" x14ac:dyDescent="0.25">
      <c r="B59" s="197" t="s">
        <v>445</v>
      </c>
      <c r="C59" s="43" t="s">
        <v>446</v>
      </c>
      <c r="D59" s="43" t="s">
        <v>337</v>
      </c>
      <c r="E59" s="43" t="s">
        <v>39</v>
      </c>
      <c r="F59" s="43">
        <v>0</v>
      </c>
      <c r="G59" s="43">
        <v>0</v>
      </c>
      <c r="H59" s="43">
        <v>8</v>
      </c>
      <c r="I59" s="43">
        <v>6</v>
      </c>
    </row>
    <row r="60" spans="2:9" ht="39.75" customHeight="1" thickBot="1" x14ac:dyDescent="0.3">
      <c r="B60" s="198"/>
      <c r="C60" s="43" t="s">
        <v>447</v>
      </c>
      <c r="D60" s="43" t="s">
        <v>337</v>
      </c>
      <c r="E60" s="43" t="s">
        <v>39</v>
      </c>
      <c r="F60" s="43">
        <v>0</v>
      </c>
      <c r="G60" s="43">
        <v>10</v>
      </c>
      <c r="H60" s="43">
        <v>15</v>
      </c>
      <c r="I60" s="43">
        <v>15</v>
      </c>
    </row>
    <row r="61" spans="2:9" ht="19.5" thickBot="1" x14ac:dyDescent="0.35">
      <c r="B61" s="199" t="s">
        <v>534</v>
      </c>
      <c r="C61" s="200"/>
      <c r="D61" s="200"/>
      <c r="E61" s="200"/>
      <c r="F61" s="200"/>
      <c r="G61" s="200"/>
      <c r="H61" s="200"/>
      <c r="I61" s="201"/>
    </row>
    <row r="62" spans="2:9" ht="31.5" x14ac:dyDescent="0.25">
      <c r="B62" s="53" t="s">
        <v>6</v>
      </c>
      <c r="C62" s="53" t="s">
        <v>1108</v>
      </c>
      <c r="D62" s="53" t="s">
        <v>9</v>
      </c>
      <c r="E62" s="53" t="s">
        <v>12</v>
      </c>
      <c r="F62" s="53" t="s">
        <v>1109</v>
      </c>
      <c r="G62" s="53" t="s">
        <v>1110</v>
      </c>
      <c r="H62" s="53" t="s">
        <v>1111</v>
      </c>
      <c r="I62" s="53" t="s">
        <v>1112</v>
      </c>
    </row>
    <row r="63" spans="2:9" ht="31.5" x14ac:dyDescent="0.25">
      <c r="B63" s="43" t="s">
        <v>1126</v>
      </c>
      <c r="C63" s="43" t="s">
        <v>546</v>
      </c>
      <c r="D63" s="43" t="s">
        <v>333</v>
      </c>
      <c r="E63" s="43" t="s">
        <v>39</v>
      </c>
      <c r="F63" s="43">
        <v>1</v>
      </c>
      <c r="G63" s="43">
        <v>1</v>
      </c>
      <c r="H63" s="43">
        <v>0</v>
      </c>
      <c r="I63" s="43">
        <v>0</v>
      </c>
    </row>
    <row r="64" spans="2:9" ht="32.25" thickBot="1" x14ac:dyDescent="0.3">
      <c r="B64" s="43" t="s">
        <v>561</v>
      </c>
      <c r="C64" s="43" t="s">
        <v>562</v>
      </c>
      <c r="D64" s="43" t="s">
        <v>333</v>
      </c>
      <c r="E64" s="43" t="s">
        <v>39</v>
      </c>
      <c r="F64" s="43">
        <v>0</v>
      </c>
      <c r="G64" s="43">
        <v>500</v>
      </c>
      <c r="H64" s="43">
        <v>500</v>
      </c>
      <c r="I64" s="43">
        <v>500</v>
      </c>
    </row>
    <row r="65" spans="2:9" ht="19.5" thickBot="1" x14ac:dyDescent="0.35">
      <c r="B65" s="199" t="s">
        <v>563</v>
      </c>
      <c r="C65" s="200"/>
      <c r="D65" s="200"/>
      <c r="E65" s="200"/>
      <c r="F65" s="200"/>
      <c r="G65" s="200"/>
      <c r="H65" s="200"/>
      <c r="I65" s="201"/>
    </row>
    <row r="66" spans="2:9" ht="31.5" x14ac:dyDescent="0.25">
      <c r="B66" s="53" t="s">
        <v>6</v>
      </c>
      <c r="C66" s="53" t="s">
        <v>1108</v>
      </c>
      <c r="D66" s="53" t="s">
        <v>9</v>
      </c>
      <c r="E66" s="53" t="s">
        <v>12</v>
      </c>
      <c r="F66" s="53" t="s">
        <v>1109</v>
      </c>
      <c r="G66" s="53" t="s">
        <v>1110</v>
      </c>
      <c r="H66" s="53" t="s">
        <v>1111</v>
      </c>
      <c r="I66" s="53" t="s">
        <v>1112</v>
      </c>
    </row>
    <row r="67" spans="2:9" ht="58.5" hidden="1" customHeight="1" x14ac:dyDescent="0.25">
      <c r="B67" s="43" t="s">
        <v>566</v>
      </c>
      <c r="C67" s="43" t="s">
        <v>567</v>
      </c>
      <c r="D67" s="43" t="s">
        <v>333</v>
      </c>
      <c r="E67" s="43" t="s">
        <v>39</v>
      </c>
      <c r="F67" s="43">
        <v>0</v>
      </c>
      <c r="G67" s="43">
        <v>45</v>
      </c>
      <c r="H67" s="43">
        <v>35</v>
      </c>
      <c r="I67" s="43">
        <v>20</v>
      </c>
    </row>
    <row r="68" spans="2:9" ht="62.25" hidden="1" customHeight="1" x14ac:dyDescent="0.25">
      <c r="B68" s="43" t="s">
        <v>568</v>
      </c>
      <c r="C68" s="43" t="s">
        <v>569</v>
      </c>
      <c r="D68" s="43" t="s">
        <v>333</v>
      </c>
      <c r="E68" s="43" t="s">
        <v>39</v>
      </c>
      <c r="F68" s="44">
        <v>0.2</v>
      </c>
      <c r="G68" s="44">
        <v>0.4</v>
      </c>
      <c r="H68" s="44">
        <v>0.3</v>
      </c>
      <c r="I68" s="44">
        <v>0.1</v>
      </c>
    </row>
    <row r="69" spans="2:9" ht="55.5" hidden="1" customHeight="1" x14ac:dyDescent="0.25">
      <c r="B69" s="43" t="s">
        <v>570</v>
      </c>
      <c r="C69" s="43" t="s">
        <v>571</v>
      </c>
      <c r="D69" s="43" t="s">
        <v>333</v>
      </c>
      <c r="E69" s="43" t="s">
        <v>39</v>
      </c>
      <c r="F69" s="44">
        <v>0</v>
      </c>
      <c r="G69" s="44">
        <v>0.4</v>
      </c>
      <c r="H69" s="44">
        <v>0.4</v>
      </c>
      <c r="I69" s="44">
        <v>0.2</v>
      </c>
    </row>
    <row r="70" spans="2:9" ht="60.75" hidden="1" customHeight="1" x14ac:dyDescent="0.25">
      <c r="B70" s="43" t="s">
        <v>572</v>
      </c>
      <c r="C70" s="43" t="s">
        <v>573</v>
      </c>
      <c r="D70" s="43" t="s">
        <v>333</v>
      </c>
      <c r="E70" s="43" t="s">
        <v>39</v>
      </c>
      <c r="F70" s="44">
        <v>0.1</v>
      </c>
      <c r="G70" s="44">
        <v>0.2</v>
      </c>
      <c r="H70" s="44">
        <v>0.3</v>
      </c>
      <c r="I70" s="44">
        <v>0.4</v>
      </c>
    </row>
    <row r="71" spans="2:9" ht="31.5" hidden="1" x14ac:dyDescent="0.25">
      <c r="B71" s="43" t="s">
        <v>576</v>
      </c>
      <c r="C71" s="43" t="s">
        <v>577</v>
      </c>
      <c r="D71" s="43" t="s">
        <v>333</v>
      </c>
      <c r="E71" s="43" t="s">
        <v>39</v>
      </c>
      <c r="F71" s="43">
        <v>50</v>
      </c>
      <c r="G71" s="43">
        <v>200</v>
      </c>
      <c r="H71" s="43">
        <v>250</v>
      </c>
      <c r="I71" s="43">
        <v>250</v>
      </c>
    </row>
    <row r="72" spans="2:9" ht="55.5" hidden="1" customHeight="1" x14ac:dyDescent="0.25">
      <c r="B72" s="197" t="s">
        <v>578</v>
      </c>
      <c r="C72" s="43" t="s">
        <v>579</v>
      </c>
      <c r="D72" s="43" t="s">
        <v>333</v>
      </c>
      <c r="E72" s="43" t="s">
        <v>39</v>
      </c>
      <c r="F72" s="44">
        <v>0.2</v>
      </c>
      <c r="G72" s="44">
        <v>0.5</v>
      </c>
      <c r="H72" s="44">
        <v>0.3</v>
      </c>
      <c r="I72" s="44">
        <v>0</v>
      </c>
    </row>
    <row r="73" spans="2:9" ht="54" hidden="1" customHeight="1" x14ac:dyDescent="0.25">
      <c r="B73" s="198"/>
      <c r="C73" s="43" t="s">
        <v>580</v>
      </c>
      <c r="D73" s="43" t="s">
        <v>333</v>
      </c>
      <c r="E73" s="43" t="s">
        <v>39</v>
      </c>
      <c r="F73" s="44">
        <v>0.1</v>
      </c>
      <c r="G73" s="44">
        <v>0.3</v>
      </c>
      <c r="H73" s="44">
        <v>0.3</v>
      </c>
      <c r="I73" s="44">
        <v>0.3</v>
      </c>
    </row>
    <row r="74" spans="2:9" ht="31.5" x14ac:dyDescent="0.25">
      <c r="B74" s="197" t="s">
        <v>581</v>
      </c>
      <c r="C74" s="43" t="s">
        <v>582</v>
      </c>
      <c r="D74" s="43" t="s">
        <v>333</v>
      </c>
      <c r="E74" s="43" t="s">
        <v>39</v>
      </c>
      <c r="F74" s="43">
        <v>0</v>
      </c>
      <c r="G74" s="43">
        <v>1</v>
      </c>
      <c r="H74" s="43">
        <v>0</v>
      </c>
      <c r="I74" s="43">
        <v>0</v>
      </c>
    </row>
    <row r="75" spans="2:9" ht="47.25" x14ac:dyDescent="0.25">
      <c r="B75" s="198"/>
      <c r="C75" s="43" t="s">
        <v>583</v>
      </c>
      <c r="D75" s="43" t="s">
        <v>584</v>
      </c>
      <c r="E75" s="43" t="s">
        <v>39</v>
      </c>
      <c r="F75" s="44">
        <v>25</v>
      </c>
      <c r="G75" s="44">
        <v>0.25</v>
      </c>
      <c r="H75" s="44">
        <v>0.25</v>
      </c>
      <c r="I75" s="44">
        <v>0.25</v>
      </c>
    </row>
    <row r="76" spans="2:9" ht="31.5" x14ac:dyDescent="0.25">
      <c r="B76" s="203" t="s">
        <v>587</v>
      </c>
      <c r="C76" s="43" t="s">
        <v>588</v>
      </c>
      <c r="D76" s="43" t="s">
        <v>589</v>
      </c>
      <c r="E76" s="43" t="s">
        <v>39</v>
      </c>
      <c r="F76" s="43">
        <v>0</v>
      </c>
      <c r="G76" s="43">
        <v>1</v>
      </c>
      <c r="H76" s="43">
        <v>0</v>
      </c>
      <c r="I76" s="43">
        <v>0</v>
      </c>
    </row>
    <row r="77" spans="2:9" ht="31.5" x14ac:dyDescent="0.25">
      <c r="B77" s="204"/>
      <c r="C77" s="43" t="s">
        <v>590</v>
      </c>
      <c r="D77" s="43" t="s">
        <v>589</v>
      </c>
      <c r="E77" s="43" t="s">
        <v>39</v>
      </c>
      <c r="F77" s="43">
        <v>0</v>
      </c>
      <c r="G77" s="43">
        <v>2</v>
      </c>
      <c r="H77" s="43">
        <v>4</v>
      </c>
      <c r="I77" s="43">
        <v>4</v>
      </c>
    </row>
    <row r="78" spans="2:9" ht="31.5" x14ac:dyDescent="0.25">
      <c r="B78" s="204"/>
      <c r="C78" s="43" t="s">
        <v>591</v>
      </c>
      <c r="D78" s="43" t="s">
        <v>589</v>
      </c>
      <c r="E78" s="43" t="s">
        <v>39</v>
      </c>
      <c r="F78" s="44">
        <v>0</v>
      </c>
      <c r="G78" s="44">
        <v>0.2</v>
      </c>
      <c r="H78" s="44">
        <v>0.3</v>
      </c>
      <c r="I78" s="44">
        <v>0.5</v>
      </c>
    </row>
    <row r="79" spans="2:9" ht="47.25" x14ac:dyDescent="0.25">
      <c r="B79" s="205"/>
      <c r="C79" s="43" t="s">
        <v>592</v>
      </c>
      <c r="D79" s="43" t="s">
        <v>593</v>
      </c>
      <c r="E79" s="43" t="s">
        <v>39</v>
      </c>
      <c r="F79" s="43">
        <v>0</v>
      </c>
      <c r="G79" s="43">
        <v>0</v>
      </c>
      <c r="H79" s="43">
        <v>1</v>
      </c>
      <c r="I79" s="43">
        <v>0</v>
      </c>
    </row>
    <row r="80" spans="2:9" ht="31.5" x14ac:dyDescent="0.25">
      <c r="B80" s="197" t="s">
        <v>594</v>
      </c>
      <c r="C80" s="43" t="s">
        <v>595</v>
      </c>
      <c r="D80" s="43" t="s">
        <v>589</v>
      </c>
      <c r="E80" s="43" t="s">
        <v>39</v>
      </c>
      <c r="F80" s="43">
        <v>1</v>
      </c>
      <c r="G80" s="43">
        <v>1</v>
      </c>
      <c r="H80" s="43">
        <v>1</v>
      </c>
      <c r="I80" s="43">
        <v>2</v>
      </c>
    </row>
    <row r="81" spans="2:9" ht="31.5" x14ac:dyDescent="0.25">
      <c r="B81" s="198"/>
      <c r="C81" s="43" t="s">
        <v>596</v>
      </c>
      <c r="D81" s="43" t="s">
        <v>589</v>
      </c>
      <c r="E81" s="43" t="s">
        <v>39</v>
      </c>
      <c r="F81" s="43">
        <v>0</v>
      </c>
      <c r="G81" s="43">
        <v>0</v>
      </c>
      <c r="H81" s="43">
        <v>1</v>
      </c>
      <c r="I81" s="43">
        <v>0</v>
      </c>
    </row>
    <row r="82" spans="2:9" ht="54" customHeight="1" x14ac:dyDescent="0.25">
      <c r="B82" s="43" t="s">
        <v>597</v>
      </c>
      <c r="C82" s="43" t="s">
        <v>598</v>
      </c>
      <c r="D82" s="43" t="s">
        <v>333</v>
      </c>
      <c r="E82" s="43" t="s">
        <v>39</v>
      </c>
      <c r="F82" s="43">
        <v>0</v>
      </c>
      <c r="G82" s="43">
        <v>1</v>
      </c>
      <c r="H82" s="43">
        <v>0</v>
      </c>
      <c r="I82" s="43">
        <v>0</v>
      </c>
    </row>
    <row r="83" spans="2:9" ht="58.5" customHeight="1" thickBot="1" x14ac:dyDescent="0.3">
      <c r="B83" s="43" t="s">
        <v>601</v>
      </c>
      <c r="C83" s="43" t="s">
        <v>602</v>
      </c>
      <c r="D83" s="43" t="s">
        <v>333</v>
      </c>
      <c r="E83" s="43" t="s">
        <v>39</v>
      </c>
      <c r="F83" s="44">
        <v>0.3</v>
      </c>
      <c r="G83" s="44">
        <v>0.7</v>
      </c>
      <c r="H83" s="44">
        <v>0</v>
      </c>
      <c r="I83" s="44">
        <v>0</v>
      </c>
    </row>
    <row r="84" spans="2:9" ht="24" customHeight="1" thickBot="1" x14ac:dyDescent="0.35">
      <c r="B84" s="199" t="s">
        <v>603</v>
      </c>
      <c r="C84" s="200"/>
      <c r="D84" s="200"/>
      <c r="E84" s="200"/>
      <c r="F84" s="200"/>
      <c r="G84" s="200"/>
      <c r="H84" s="200"/>
      <c r="I84" s="201"/>
    </row>
    <row r="85" spans="2:9" ht="39" customHeight="1" x14ac:dyDescent="0.25">
      <c r="B85" s="53" t="s">
        <v>6</v>
      </c>
      <c r="C85" s="53" t="s">
        <v>1108</v>
      </c>
      <c r="D85" s="53" t="s">
        <v>9</v>
      </c>
      <c r="E85" s="53" t="s">
        <v>12</v>
      </c>
      <c r="F85" s="53" t="s">
        <v>1109</v>
      </c>
      <c r="G85" s="53" t="s">
        <v>1110</v>
      </c>
      <c r="H85" s="53" t="s">
        <v>1111</v>
      </c>
      <c r="I85" s="53" t="s">
        <v>1112</v>
      </c>
    </row>
    <row r="86" spans="2:9" ht="39.75" customHeight="1" x14ac:dyDescent="0.25">
      <c r="B86" s="197" t="s">
        <v>607</v>
      </c>
      <c r="C86" s="43" t="s">
        <v>608</v>
      </c>
      <c r="D86" s="43" t="s">
        <v>333</v>
      </c>
      <c r="E86" s="43" t="s">
        <v>39</v>
      </c>
      <c r="F86" s="43">
        <v>0</v>
      </c>
      <c r="G86" s="43">
        <v>1</v>
      </c>
      <c r="H86" s="43">
        <v>2</v>
      </c>
      <c r="I86" s="43">
        <v>3</v>
      </c>
    </row>
    <row r="87" spans="2:9" ht="31.5" x14ac:dyDescent="0.25">
      <c r="B87" s="202"/>
      <c r="C87" s="43" t="s">
        <v>610</v>
      </c>
      <c r="D87" s="43" t="s">
        <v>333</v>
      </c>
      <c r="E87" s="43" t="s">
        <v>39</v>
      </c>
      <c r="F87" s="43">
        <v>0</v>
      </c>
      <c r="G87" s="43">
        <v>0</v>
      </c>
      <c r="H87" s="43">
        <v>0</v>
      </c>
      <c r="I87" s="43">
        <v>1</v>
      </c>
    </row>
    <row r="88" spans="2:9" ht="63" x14ac:dyDescent="0.25">
      <c r="B88" s="198"/>
      <c r="C88" s="43" t="s">
        <v>611</v>
      </c>
      <c r="D88" s="43" t="s">
        <v>612</v>
      </c>
      <c r="E88" s="43" t="s">
        <v>39</v>
      </c>
      <c r="F88" s="43">
        <v>0</v>
      </c>
      <c r="G88" s="43">
        <v>0</v>
      </c>
      <c r="H88" s="43">
        <v>0</v>
      </c>
      <c r="I88" s="43">
        <v>1</v>
      </c>
    </row>
    <row r="89" spans="2:9" ht="31.5" x14ac:dyDescent="0.25">
      <c r="B89" s="197" t="s">
        <v>615</v>
      </c>
      <c r="C89" s="43" t="s">
        <v>616</v>
      </c>
      <c r="D89" s="43" t="s">
        <v>333</v>
      </c>
      <c r="E89" s="43" t="s">
        <v>39</v>
      </c>
      <c r="F89" s="44">
        <v>0</v>
      </c>
      <c r="G89" s="44">
        <v>0.15</v>
      </c>
      <c r="H89" s="44">
        <v>0.3</v>
      </c>
      <c r="I89" s="44">
        <v>0.55000000000000004</v>
      </c>
    </row>
    <row r="90" spans="2:9" ht="31.5" x14ac:dyDescent="0.25">
      <c r="B90" s="202"/>
      <c r="C90" s="43" t="s">
        <v>617</v>
      </c>
      <c r="D90" s="43" t="s">
        <v>333</v>
      </c>
      <c r="E90" s="43" t="s">
        <v>39</v>
      </c>
      <c r="F90" s="44">
        <v>0</v>
      </c>
      <c r="G90" s="44">
        <v>0.2</v>
      </c>
      <c r="H90" s="44">
        <v>0.35</v>
      </c>
      <c r="I90" s="44">
        <v>0.45</v>
      </c>
    </row>
    <row r="91" spans="2:9" ht="31.5" x14ac:dyDescent="0.25">
      <c r="B91" s="198"/>
      <c r="C91" s="43" t="s">
        <v>618</v>
      </c>
      <c r="D91" s="43" t="s">
        <v>333</v>
      </c>
      <c r="E91" s="43" t="s">
        <v>39</v>
      </c>
      <c r="F91" s="43">
        <v>0</v>
      </c>
      <c r="G91" s="43">
        <v>0</v>
      </c>
      <c r="H91" s="43">
        <v>1</v>
      </c>
      <c r="I91" s="43">
        <v>0</v>
      </c>
    </row>
    <row r="92" spans="2:9" ht="31.5" x14ac:dyDescent="0.25">
      <c r="B92" s="43" t="s">
        <v>621</v>
      </c>
      <c r="C92" s="43" t="s">
        <v>622</v>
      </c>
      <c r="D92" s="43" t="s">
        <v>333</v>
      </c>
      <c r="E92" s="43" t="s">
        <v>39</v>
      </c>
      <c r="F92" s="44">
        <v>0</v>
      </c>
      <c r="G92" s="44">
        <v>0.1</v>
      </c>
      <c r="H92" s="44">
        <v>0.4</v>
      </c>
      <c r="I92" s="44">
        <v>0.5</v>
      </c>
    </row>
    <row r="93" spans="2:9" ht="51" customHeight="1" thickBot="1" x14ac:dyDescent="0.3">
      <c r="B93" s="43" t="s">
        <v>623</v>
      </c>
      <c r="C93" s="43" t="s">
        <v>624</v>
      </c>
      <c r="D93" s="43" t="s">
        <v>333</v>
      </c>
      <c r="E93" s="43" t="s">
        <v>39</v>
      </c>
      <c r="F93" s="44">
        <v>0</v>
      </c>
      <c r="G93" s="44">
        <v>0.2</v>
      </c>
      <c r="H93" s="44">
        <v>0.4</v>
      </c>
      <c r="I93" s="44">
        <v>0.4</v>
      </c>
    </row>
    <row r="94" spans="2:9" ht="21" customHeight="1" thickBot="1" x14ac:dyDescent="0.35">
      <c r="B94" s="199" t="s">
        <v>1127</v>
      </c>
      <c r="C94" s="200"/>
      <c r="D94" s="200"/>
      <c r="E94" s="200"/>
      <c r="F94" s="200"/>
      <c r="G94" s="200"/>
      <c r="H94" s="200"/>
      <c r="I94" s="201"/>
    </row>
    <row r="95" spans="2:9" ht="44.25" customHeight="1" x14ac:dyDescent="0.25">
      <c r="B95" s="53" t="s">
        <v>6</v>
      </c>
      <c r="C95" s="53" t="s">
        <v>1108</v>
      </c>
      <c r="D95" s="53" t="s">
        <v>9</v>
      </c>
      <c r="E95" s="53" t="s">
        <v>12</v>
      </c>
      <c r="F95" s="53" t="s">
        <v>1109</v>
      </c>
      <c r="G95" s="53" t="s">
        <v>1110</v>
      </c>
      <c r="H95" s="53" t="s">
        <v>1111</v>
      </c>
      <c r="I95" s="53" t="s">
        <v>1112</v>
      </c>
    </row>
    <row r="96" spans="2:9" ht="58.5" customHeight="1" x14ac:dyDescent="0.25">
      <c r="B96" s="197" t="s">
        <v>628</v>
      </c>
      <c r="C96" s="43" t="s">
        <v>629</v>
      </c>
      <c r="D96" s="43" t="s">
        <v>589</v>
      </c>
      <c r="E96" s="43" t="s">
        <v>39</v>
      </c>
      <c r="F96" s="44">
        <v>0</v>
      </c>
      <c r="G96" s="44">
        <v>0.3</v>
      </c>
      <c r="H96" s="44">
        <v>0.3</v>
      </c>
      <c r="I96" s="44">
        <v>0.4</v>
      </c>
    </row>
    <row r="97" spans="2:9" ht="31.5" x14ac:dyDescent="0.25">
      <c r="B97" s="198"/>
      <c r="C97" s="43" t="s">
        <v>631</v>
      </c>
      <c r="D97" s="43" t="s">
        <v>589</v>
      </c>
      <c r="E97" s="43" t="s">
        <v>39</v>
      </c>
      <c r="F97" s="44">
        <v>0</v>
      </c>
      <c r="G97" s="44">
        <v>0</v>
      </c>
      <c r="H97" s="44">
        <v>0.3</v>
      </c>
      <c r="I97" s="44">
        <v>0.7</v>
      </c>
    </row>
    <row r="98" spans="2:9" ht="31.5" x14ac:dyDescent="0.25">
      <c r="B98" s="197" t="s">
        <v>658</v>
      </c>
      <c r="C98" s="43" t="s">
        <v>659</v>
      </c>
      <c r="D98" s="43" t="s">
        <v>589</v>
      </c>
      <c r="E98" s="43" t="s">
        <v>39</v>
      </c>
      <c r="F98" s="44">
        <v>0</v>
      </c>
      <c r="G98" s="44">
        <v>0.3</v>
      </c>
      <c r="H98" s="44">
        <v>0.3</v>
      </c>
      <c r="I98" s="44">
        <v>0.4</v>
      </c>
    </row>
    <row r="99" spans="2:9" ht="63" x14ac:dyDescent="0.25">
      <c r="B99" s="198"/>
      <c r="C99" s="43" t="s">
        <v>660</v>
      </c>
      <c r="D99" s="43" t="s">
        <v>661</v>
      </c>
      <c r="E99" s="43" t="s">
        <v>39</v>
      </c>
      <c r="F99" s="44">
        <v>0</v>
      </c>
      <c r="G99" s="44">
        <v>0</v>
      </c>
      <c r="H99" s="44">
        <v>0.5</v>
      </c>
      <c r="I99" s="44">
        <v>0.5</v>
      </c>
    </row>
    <row r="100" spans="2:9" ht="57.75" customHeight="1" thickBot="1" x14ac:dyDescent="0.3">
      <c r="B100" s="43" t="s">
        <v>666</v>
      </c>
      <c r="C100" s="43" t="s">
        <v>667</v>
      </c>
      <c r="D100" s="43" t="s">
        <v>589</v>
      </c>
      <c r="E100" s="43" t="s">
        <v>39</v>
      </c>
      <c r="F100" s="44">
        <v>0</v>
      </c>
      <c r="G100" s="44">
        <v>0.3</v>
      </c>
      <c r="H100" s="44">
        <v>0.3</v>
      </c>
      <c r="I100" s="44">
        <v>0.4</v>
      </c>
    </row>
    <row r="101" spans="2:9" ht="21.75" customHeight="1" thickBot="1" x14ac:dyDescent="0.35">
      <c r="B101" s="199" t="s">
        <v>1128</v>
      </c>
      <c r="C101" s="200"/>
      <c r="D101" s="200"/>
      <c r="E101" s="200"/>
      <c r="F101" s="200"/>
      <c r="G101" s="200"/>
      <c r="H101" s="200"/>
      <c r="I101" s="201"/>
    </row>
    <row r="102" spans="2:9" ht="45.75" customHeight="1" x14ac:dyDescent="0.25">
      <c r="B102" s="53" t="s">
        <v>6</v>
      </c>
      <c r="C102" s="53" t="s">
        <v>1108</v>
      </c>
      <c r="D102" s="53" t="s">
        <v>9</v>
      </c>
      <c r="E102" s="53" t="s">
        <v>12</v>
      </c>
      <c r="F102" s="53" t="s">
        <v>1109</v>
      </c>
      <c r="G102" s="53" t="s">
        <v>1110</v>
      </c>
      <c r="H102" s="53" t="s">
        <v>1111</v>
      </c>
      <c r="I102" s="53" t="s">
        <v>1112</v>
      </c>
    </row>
    <row r="103" spans="2:9" ht="46.5" customHeight="1" x14ac:dyDescent="0.25">
      <c r="B103" s="197" t="s">
        <v>675</v>
      </c>
      <c r="C103" s="44" t="s">
        <v>676</v>
      </c>
      <c r="D103" s="44" t="s">
        <v>589</v>
      </c>
      <c r="E103" s="44" t="s">
        <v>39</v>
      </c>
      <c r="F103" s="44">
        <v>0</v>
      </c>
      <c r="G103" s="44">
        <v>0.2</v>
      </c>
      <c r="H103" s="44">
        <v>0.3</v>
      </c>
      <c r="I103" s="44">
        <v>0.5</v>
      </c>
    </row>
    <row r="104" spans="2:9" ht="31.5" x14ac:dyDescent="0.25">
      <c r="B104" s="202"/>
      <c r="C104" s="44" t="s">
        <v>677</v>
      </c>
      <c r="D104" s="44" t="s">
        <v>589</v>
      </c>
      <c r="E104" s="44" t="s">
        <v>39</v>
      </c>
      <c r="F104" s="44">
        <v>0</v>
      </c>
      <c r="G104" s="44">
        <v>0.25</v>
      </c>
      <c r="H104" s="44">
        <v>0.25</v>
      </c>
      <c r="I104" s="44">
        <v>0.5</v>
      </c>
    </row>
    <row r="105" spans="2:9" ht="31.5" x14ac:dyDescent="0.25">
      <c r="B105" s="198"/>
      <c r="C105" s="44" t="s">
        <v>678</v>
      </c>
      <c r="D105" s="44" t="s">
        <v>589</v>
      </c>
      <c r="E105" s="44" t="s">
        <v>39</v>
      </c>
      <c r="F105" s="44">
        <v>0.1</v>
      </c>
      <c r="G105" s="44">
        <v>0.2</v>
      </c>
      <c r="H105" s="44">
        <v>0.3</v>
      </c>
      <c r="I105" s="44">
        <v>0.4</v>
      </c>
    </row>
    <row r="106" spans="2:9" ht="35.25" customHeight="1" x14ac:dyDescent="0.25">
      <c r="B106" s="197" t="s">
        <v>679</v>
      </c>
      <c r="C106" s="44" t="s">
        <v>680</v>
      </c>
      <c r="D106" s="44" t="s">
        <v>589</v>
      </c>
      <c r="E106" s="44" t="s">
        <v>39</v>
      </c>
      <c r="F106" s="43">
        <v>0</v>
      </c>
      <c r="G106" s="43">
        <v>4</v>
      </c>
      <c r="H106" s="43">
        <v>6</v>
      </c>
      <c r="I106" s="43">
        <v>10</v>
      </c>
    </row>
    <row r="107" spans="2:9" ht="55.5" customHeight="1" x14ac:dyDescent="0.25">
      <c r="B107" s="202"/>
      <c r="C107" s="44" t="s">
        <v>681</v>
      </c>
      <c r="D107" s="44" t="s">
        <v>589</v>
      </c>
      <c r="E107" s="44" t="s">
        <v>39</v>
      </c>
      <c r="F107" s="43">
        <v>0</v>
      </c>
      <c r="G107" s="43">
        <v>1</v>
      </c>
      <c r="H107" s="43">
        <v>1</v>
      </c>
      <c r="I107" s="43">
        <v>0</v>
      </c>
    </row>
    <row r="108" spans="2:9" ht="39.75" customHeight="1" x14ac:dyDescent="0.25">
      <c r="B108" s="198"/>
      <c r="C108" s="44" t="s">
        <v>682</v>
      </c>
      <c r="D108" s="44" t="s">
        <v>589</v>
      </c>
      <c r="E108" s="44" t="s">
        <v>39</v>
      </c>
      <c r="F108" s="43">
        <v>0</v>
      </c>
      <c r="G108" s="43">
        <v>0</v>
      </c>
      <c r="H108" s="43">
        <v>1</v>
      </c>
      <c r="I108" s="43">
        <v>1</v>
      </c>
    </row>
    <row r="109" spans="2:9" ht="31.5" x14ac:dyDescent="0.25">
      <c r="B109" s="197" t="s">
        <v>684</v>
      </c>
      <c r="C109" s="44" t="s">
        <v>685</v>
      </c>
      <c r="D109" s="44" t="s">
        <v>589</v>
      </c>
      <c r="E109" s="44" t="s">
        <v>39</v>
      </c>
      <c r="F109" s="43">
        <v>0</v>
      </c>
      <c r="G109" s="43">
        <v>0</v>
      </c>
      <c r="H109" s="43">
        <v>1</v>
      </c>
      <c r="I109" s="43">
        <v>0</v>
      </c>
    </row>
    <row r="110" spans="2:9" ht="36" customHeight="1" x14ac:dyDescent="0.25">
      <c r="B110" s="202"/>
      <c r="C110" s="44" t="s">
        <v>686</v>
      </c>
      <c r="D110" s="44" t="s">
        <v>589</v>
      </c>
      <c r="E110" s="44" t="s">
        <v>39</v>
      </c>
      <c r="F110" s="43">
        <v>0</v>
      </c>
      <c r="G110" s="43">
        <v>1</v>
      </c>
      <c r="H110" s="43">
        <v>2</v>
      </c>
      <c r="I110" s="43">
        <v>1</v>
      </c>
    </row>
    <row r="111" spans="2:9" ht="45.75" customHeight="1" x14ac:dyDescent="0.25">
      <c r="B111" s="198"/>
      <c r="C111" s="44" t="s">
        <v>687</v>
      </c>
      <c r="D111" s="44" t="s">
        <v>589</v>
      </c>
      <c r="E111" s="44" t="s">
        <v>39</v>
      </c>
      <c r="F111" s="43">
        <v>0</v>
      </c>
      <c r="G111" s="43">
        <v>0</v>
      </c>
      <c r="H111" s="43">
        <v>3</v>
      </c>
      <c r="I111" s="43">
        <v>2</v>
      </c>
    </row>
    <row r="112" spans="2:9" ht="63" customHeight="1" x14ac:dyDescent="0.25">
      <c r="B112" s="197" t="s">
        <v>695</v>
      </c>
      <c r="C112" s="44" t="s">
        <v>696</v>
      </c>
      <c r="D112" s="44" t="s">
        <v>697</v>
      </c>
      <c r="E112" s="44" t="s">
        <v>39</v>
      </c>
      <c r="F112" s="43">
        <v>0</v>
      </c>
      <c r="G112" s="43">
        <v>0</v>
      </c>
      <c r="H112" s="43">
        <v>1</v>
      </c>
      <c r="I112" s="43">
        <v>0</v>
      </c>
    </row>
    <row r="113" spans="2:9" ht="62.25" customHeight="1" x14ac:dyDescent="0.25">
      <c r="B113" s="198"/>
      <c r="C113" s="44" t="s">
        <v>698</v>
      </c>
      <c r="D113" s="44" t="s">
        <v>589</v>
      </c>
      <c r="E113" s="44" t="s">
        <v>39</v>
      </c>
      <c r="F113" s="44">
        <v>0</v>
      </c>
      <c r="G113" s="44">
        <v>0.3</v>
      </c>
      <c r="H113" s="44">
        <v>0.3</v>
      </c>
      <c r="I113" s="44">
        <v>0.4</v>
      </c>
    </row>
    <row r="114" spans="2:9" ht="36.75" customHeight="1" thickBot="1" x14ac:dyDescent="0.3">
      <c r="B114" s="43" t="s">
        <v>702</v>
      </c>
      <c r="C114" s="44" t="s">
        <v>703</v>
      </c>
      <c r="D114" s="44" t="s">
        <v>589</v>
      </c>
      <c r="E114" s="44" t="s">
        <v>39</v>
      </c>
      <c r="F114" s="44">
        <v>0</v>
      </c>
      <c r="G114" s="44">
        <v>0.4</v>
      </c>
      <c r="H114" s="44">
        <v>0.6</v>
      </c>
      <c r="I114" s="44">
        <v>0</v>
      </c>
    </row>
    <row r="115" spans="2:9" ht="22.5" customHeight="1" thickBot="1" x14ac:dyDescent="0.35">
      <c r="B115" s="199" t="s">
        <v>704</v>
      </c>
      <c r="C115" s="200"/>
      <c r="D115" s="200"/>
      <c r="E115" s="200"/>
      <c r="F115" s="200"/>
      <c r="G115" s="200"/>
      <c r="H115" s="200"/>
      <c r="I115" s="201"/>
    </row>
    <row r="116" spans="2:9" ht="15.75" customHeight="1" x14ac:dyDescent="0.25">
      <c r="B116" s="53" t="s">
        <v>6</v>
      </c>
      <c r="C116" s="53" t="s">
        <v>1108</v>
      </c>
      <c r="D116" s="53" t="s">
        <v>9</v>
      </c>
      <c r="E116" s="53" t="s">
        <v>12</v>
      </c>
      <c r="F116" s="53" t="s">
        <v>1109</v>
      </c>
      <c r="G116" s="53" t="s">
        <v>1110</v>
      </c>
      <c r="H116" s="53" t="s">
        <v>1111</v>
      </c>
      <c r="I116" s="53" t="s">
        <v>1112</v>
      </c>
    </row>
    <row r="117" spans="2:9" ht="47.25" x14ac:dyDescent="0.25">
      <c r="B117" s="44" t="s">
        <v>730</v>
      </c>
      <c r="C117" s="44" t="s">
        <v>731</v>
      </c>
      <c r="D117" s="44" t="s">
        <v>709</v>
      </c>
      <c r="E117" s="44" t="s">
        <v>39</v>
      </c>
      <c r="F117" s="43">
        <v>200</v>
      </c>
      <c r="G117" s="43">
        <v>1500</v>
      </c>
      <c r="H117" s="43">
        <v>2000</v>
      </c>
      <c r="I117" s="43">
        <v>2300</v>
      </c>
    </row>
    <row r="118" spans="2:9" ht="31.5" x14ac:dyDescent="0.25">
      <c r="B118" s="44" t="s">
        <v>732</v>
      </c>
      <c r="C118" s="44" t="s">
        <v>733</v>
      </c>
      <c r="D118" s="44" t="s">
        <v>709</v>
      </c>
      <c r="E118" s="44" t="s">
        <v>39</v>
      </c>
      <c r="F118" s="43">
        <v>0</v>
      </c>
      <c r="G118" s="43">
        <v>1800</v>
      </c>
      <c r="H118" s="43">
        <v>2200</v>
      </c>
      <c r="I118" s="43">
        <v>2400</v>
      </c>
    </row>
    <row r="119" spans="2:9" ht="32.25" thickBot="1" x14ac:dyDescent="0.3">
      <c r="B119" s="44" t="s">
        <v>734</v>
      </c>
      <c r="C119" s="44" t="s">
        <v>735</v>
      </c>
      <c r="D119" s="44" t="s">
        <v>709</v>
      </c>
      <c r="E119" s="44" t="s">
        <v>39</v>
      </c>
      <c r="F119" s="43">
        <v>0</v>
      </c>
      <c r="G119" s="43">
        <v>3800</v>
      </c>
      <c r="H119" s="43">
        <v>4000</v>
      </c>
      <c r="I119" s="43">
        <v>5000</v>
      </c>
    </row>
    <row r="120" spans="2:9" ht="24" customHeight="1" thickBot="1" x14ac:dyDescent="0.35">
      <c r="B120" s="199" t="s">
        <v>745</v>
      </c>
      <c r="C120" s="200"/>
      <c r="D120" s="200"/>
      <c r="E120" s="200"/>
      <c r="F120" s="200"/>
      <c r="G120" s="200"/>
      <c r="H120" s="200"/>
      <c r="I120" s="201"/>
    </row>
    <row r="121" spans="2:9" ht="34.5" customHeight="1" x14ac:dyDescent="0.25">
      <c r="B121" s="53" t="s">
        <v>6</v>
      </c>
      <c r="C121" s="53" t="s">
        <v>1108</v>
      </c>
      <c r="D121" s="53" t="s">
        <v>9</v>
      </c>
      <c r="E121" s="53" t="s">
        <v>12</v>
      </c>
      <c r="F121" s="53" t="s">
        <v>1109</v>
      </c>
      <c r="G121" s="53" t="s">
        <v>1110</v>
      </c>
      <c r="H121" s="53" t="s">
        <v>1111</v>
      </c>
      <c r="I121" s="53" t="s">
        <v>1112</v>
      </c>
    </row>
    <row r="122" spans="2:9" ht="50.25" customHeight="1" x14ac:dyDescent="0.25">
      <c r="B122" s="44" t="s">
        <v>1129</v>
      </c>
      <c r="C122" s="44" t="s">
        <v>749</v>
      </c>
      <c r="D122" s="44" t="s">
        <v>228</v>
      </c>
      <c r="E122" s="44" t="s">
        <v>39</v>
      </c>
      <c r="F122" s="44">
        <v>0</v>
      </c>
      <c r="G122" s="44">
        <v>0.3</v>
      </c>
      <c r="H122" s="44">
        <v>0.5</v>
      </c>
      <c r="I122" s="44">
        <v>1</v>
      </c>
    </row>
    <row r="123" spans="2:9" ht="38.25" customHeight="1" x14ac:dyDescent="0.25">
      <c r="B123" s="197" t="s">
        <v>1130</v>
      </c>
      <c r="C123" s="44" t="s">
        <v>756</v>
      </c>
      <c r="D123" s="44" t="s">
        <v>228</v>
      </c>
      <c r="E123" s="44" t="s">
        <v>39</v>
      </c>
      <c r="F123" s="44">
        <v>0.25</v>
      </c>
      <c r="G123" s="44">
        <v>0.25</v>
      </c>
      <c r="H123" s="44">
        <v>0.25</v>
      </c>
      <c r="I123" s="44">
        <v>0.25</v>
      </c>
    </row>
    <row r="124" spans="2:9" ht="84" customHeight="1" x14ac:dyDescent="0.25">
      <c r="B124" s="198"/>
      <c r="C124" s="44" t="s">
        <v>1131</v>
      </c>
      <c r="D124" s="44" t="s">
        <v>228</v>
      </c>
      <c r="E124" s="44" t="s">
        <v>39</v>
      </c>
      <c r="F124" s="44">
        <v>0</v>
      </c>
      <c r="G124" s="44">
        <v>0.33</v>
      </c>
      <c r="H124" s="44">
        <v>0.33</v>
      </c>
      <c r="I124" s="44">
        <v>0.34</v>
      </c>
    </row>
    <row r="125" spans="2:9" ht="55.5" customHeight="1" x14ac:dyDescent="0.25">
      <c r="B125" s="43" t="s">
        <v>758</v>
      </c>
      <c r="C125" s="44" t="s">
        <v>759</v>
      </c>
      <c r="D125" s="44" t="s">
        <v>760</v>
      </c>
      <c r="E125" s="44" t="s">
        <v>42</v>
      </c>
      <c r="F125" s="43">
        <v>1</v>
      </c>
      <c r="G125" s="43">
        <v>1</v>
      </c>
      <c r="H125" s="43">
        <v>1</v>
      </c>
      <c r="I125" s="43">
        <v>1</v>
      </c>
    </row>
    <row r="126" spans="2:9" ht="41.25" customHeight="1" x14ac:dyDescent="0.25">
      <c r="B126" s="197" t="s">
        <v>786</v>
      </c>
      <c r="C126" s="44" t="s">
        <v>787</v>
      </c>
      <c r="D126" s="44" t="s">
        <v>175</v>
      </c>
      <c r="E126" s="44" t="s">
        <v>39</v>
      </c>
      <c r="F126" s="44">
        <v>0.3</v>
      </c>
      <c r="G126" s="44">
        <v>0.7</v>
      </c>
      <c r="H126" s="44">
        <v>0</v>
      </c>
      <c r="I126" s="44">
        <v>0</v>
      </c>
    </row>
    <row r="127" spans="2:9" ht="23.25" customHeight="1" x14ac:dyDescent="0.25">
      <c r="B127" s="198"/>
      <c r="C127" s="44" t="s">
        <v>788</v>
      </c>
      <c r="D127" s="44" t="s">
        <v>175</v>
      </c>
      <c r="E127" s="44" t="s">
        <v>42</v>
      </c>
      <c r="F127" s="44">
        <v>1</v>
      </c>
      <c r="G127" s="44">
        <v>1</v>
      </c>
      <c r="H127" s="44">
        <v>1</v>
      </c>
      <c r="I127" s="44">
        <v>1</v>
      </c>
    </row>
    <row r="128" spans="2:9" ht="40.5" customHeight="1" x14ac:dyDescent="0.25">
      <c r="B128" s="43" t="s">
        <v>789</v>
      </c>
      <c r="C128" s="44" t="s">
        <v>794</v>
      </c>
      <c r="D128" s="44" t="s">
        <v>791</v>
      </c>
      <c r="E128" s="44" t="s">
        <v>1132</v>
      </c>
      <c r="F128" s="44">
        <v>0</v>
      </c>
      <c r="G128" s="44">
        <v>1</v>
      </c>
      <c r="H128" s="44">
        <v>1</v>
      </c>
      <c r="I128" s="44">
        <v>1</v>
      </c>
    </row>
    <row r="129" spans="2:9" ht="87" customHeight="1" x14ac:dyDescent="0.25">
      <c r="B129" s="197" t="s">
        <v>796</v>
      </c>
      <c r="C129" s="44" t="s">
        <v>797</v>
      </c>
      <c r="D129" s="44" t="s">
        <v>1133</v>
      </c>
      <c r="E129" s="44" t="s">
        <v>39</v>
      </c>
      <c r="F129" s="43">
        <v>8</v>
      </c>
      <c r="G129" s="43">
        <v>11</v>
      </c>
      <c r="H129" s="43">
        <v>11</v>
      </c>
      <c r="I129" s="43">
        <v>10</v>
      </c>
    </row>
    <row r="130" spans="2:9" ht="93.75" customHeight="1" x14ac:dyDescent="0.25">
      <c r="B130" s="202"/>
      <c r="C130" s="44" t="s">
        <v>798</v>
      </c>
      <c r="D130" s="44" t="s">
        <v>1134</v>
      </c>
      <c r="E130" s="44" t="s">
        <v>39</v>
      </c>
      <c r="F130" s="43">
        <v>4</v>
      </c>
      <c r="G130" s="43">
        <v>5</v>
      </c>
      <c r="H130" s="43">
        <v>5</v>
      </c>
      <c r="I130" s="43">
        <v>5</v>
      </c>
    </row>
    <row r="131" spans="2:9" ht="44.25" customHeight="1" x14ac:dyDescent="0.25">
      <c r="B131" s="198"/>
      <c r="C131" s="44" t="s">
        <v>799</v>
      </c>
      <c r="D131" s="44" t="s">
        <v>800</v>
      </c>
      <c r="E131" s="44" t="s">
        <v>39</v>
      </c>
      <c r="F131" s="43">
        <v>0</v>
      </c>
      <c r="G131" s="43">
        <v>1</v>
      </c>
      <c r="H131" s="43">
        <v>0</v>
      </c>
      <c r="I131" s="43">
        <v>1</v>
      </c>
    </row>
    <row r="132" spans="2:9" ht="39.75" customHeight="1" x14ac:dyDescent="0.25">
      <c r="B132" s="197" t="s">
        <v>822</v>
      </c>
      <c r="C132" s="44" t="s">
        <v>823</v>
      </c>
      <c r="D132" s="44" t="s">
        <v>337</v>
      </c>
      <c r="E132" s="44" t="s">
        <v>39</v>
      </c>
      <c r="F132" s="44">
        <v>1</v>
      </c>
      <c r="G132" s="44">
        <v>1</v>
      </c>
      <c r="H132" s="44">
        <v>1</v>
      </c>
      <c r="I132" s="44">
        <v>1</v>
      </c>
    </row>
    <row r="133" spans="2:9" ht="52.5" customHeight="1" x14ac:dyDescent="0.25">
      <c r="B133" s="202"/>
      <c r="C133" s="44" t="s">
        <v>824</v>
      </c>
      <c r="D133" s="44" t="s">
        <v>337</v>
      </c>
      <c r="E133" s="44" t="s">
        <v>39</v>
      </c>
      <c r="F133" s="44">
        <v>1</v>
      </c>
      <c r="G133" s="44">
        <v>1</v>
      </c>
      <c r="H133" s="44">
        <v>1</v>
      </c>
      <c r="I133" s="44">
        <v>1</v>
      </c>
    </row>
    <row r="134" spans="2:9" ht="16.5" thickBot="1" x14ac:dyDescent="0.3">
      <c r="B134" s="198"/>
      <c r="C134" s="44" t="s">
        <v>826</v>
      </c>
      <c r="D134" s="44" t="s">
        <v>337</v>
      </c>
      <c r="E134" s="44" t="s">
        <v>39</v>
      </c>
      <c r="F134" s="43">
        <v>200</v>
      </c>
      <c r="G134" s="43">
        <v>1000</v>
      </c>
      <c r="H134" s="43">
        <v>1000</v>
      </c>
      <c r="I134" s="43">
        <v>1000</v>
      </c>
    </row>
    <row r="135" spans="2:9" ht="27" customHeight="1" thickBot="1" x14ac:dyDescent="0.35">
      <c r="B135" s="199" t="s">
        <v>827</v>
      </c>
      <c r="C135" s="200"/>
      <c r="D135" s="200"/>
      <c r="E135" s="200"/>
      <c r="F135" s="200"/>
      <c r="G135" s="200"/>
      <c r="H135" s="200"/>
      <c r="I135" s="201"/>
    </row>
    <row r="136" spans="2:9" ht="47.25" customHeight="1" x14ac:dyDescent="0.25">
      <c r="B136" s="53" t="s">
        <v>6</v>
      </c>
      <c r="C136" s="53" t="s">
        <v>1108</v>
      </c>
      <c r="D136" s="53" t="s">
        <v>9</v>
      </c>
      <c r="E136" s="53" t="s">
        <v>12</v>
      </c>
      <c r="F136" s="53" t="s">
        <v>1109</v>
      </c>
      <c r="G136" s="53" t="s">
        <v>1110</v>
      </c>
      <c r="H136" s="53" t="s">
        <v>1111</v>
      </c>
      <c r="I136" s="53" t="s">
        <v>1112</v>
      </c>
    </row>
    <row r="137" spans="2:9" ht="47.25" x14ac:dyDescent="0.25">
      <c r="B137" s="43" t="s">
        <v>830</v>
      </c>
      <c r="C137" s="44" t="s">
        <v>831</v>
      </c>
      <c r="D137" s="44" t="s">
        <v>220</v>
      </c>
      <c r="E137" s="44" t="s">
        <v>39</v>
      </c>
      <c r="F137" s="43">
        <v>0</v>
      </c>
      <c r="G137" s="43">
        <v>1</v>
      </c>
      <c r="H137" s="43">
        <v>1</v>
      </c>
      <c r="I137" s="43">
        <v>1</v>
      </c>
    </row>
    <row r="138" spans="2:9" ht="47.25" x14ac:dyDescent="0.25">
      <c r="B138" s="197" t="s">
        <v>845</v>
      </c>
      <c r="C138" s="44" t="s">
        <v>846</v>
      </c>
      <c r="D138" s="44" t="s">
        <v>220</v>
      </c>
      <c r="E138" s="44" t="s">
        <v>39</v>
      </c>
      <c r="F138" s="44">
        <v>0</v>
      </c>
      <c r="G138" s="44">
        <v>0.2</v>
      </c>
      <c r="H138" s="44">
        <v>0.3</v>
      </c>
      <c r="I138" s="44">
        <v>0.5</v>
      </c>
    </row>
    <row r="139" spans="2:9" ht="47.25" x14ac:dyDescent="0.25">
      <c r="B139" s="198"/>
      <c r="C139" s="44" t="s">
        <v>847</v>
      </c>
      <c r="D139" s="44" t="s">
        <v>220</v>
      </c>
      <c r="E139" s="44" t="s">
        <v>39</v>
      </c>
      <c r="F139" s="44">
        <v>0</v>
      </c>
      <c r="G139" s="44">
        <v>0.2</v>
      </c>
      <c r="H139" s="44">
        <v>0.3</v>
      </c>
      <c r="I139" s="44">
        <v>0.5</v>
      </c>
    </row>
    <row r="140" spans="2:9" ht="48" customHeight="1" x14ac:dyDescent="0.25">
      <c r="B140" s="197" t="s">
        <v>856</v>
      </c>
      <c r="C140" s="44" t="s">
        <v>857</v>
      </c>
      <c r="D140" s="44" t="s">
        <v>858</v>
      </c>
      <c r="E140" s="44" t="s">
        <v>39</v>
      </c>
      <c r="F140" s="43">
        <v>0</v>
      </c>
      <c r="G140" s="43">
        <v>1</v>
      </c>
      <c r="H140" s="43">
        <v>1</v>
      </c>
      <c r="I140" s="43">
        <v>0</v>
      </c>
    </row>
    <row r="141" spans="2:9" ht="48" customHeight="1" x14ac:dyDescent="0.25">
      <c r="B141" s="202"/>
      <c r="C141" s="44" t="s">
        <v>859</v>
      </c>
      <c r="D141" s="44" t="s">
        <v>858</v>
      </c>
      <c r="E141" s="44" t="s">
        <v>39</v>
      </c>
      <c r="F141" s="43">
        <v>0</v>
      </c>
      <c r="G141" s="43">
        <v>100</v>
      </c>
      <c r="H141" s="43">
        <v>150</v>
      </c>
      <c r="I141" s="43">
        <v>250</v>
      </c>
    </row>
    <row r="142" spans="2:9" ht="51.75" customHeight="1" x14ac:dyDescent="0.25">
      <c r="B142" s="202"/>
      <c r="C142" s="44" t="s">
        <v>860</v>
      </c>
      <c r="D142" s="44" t="s">
        <v>858</v>
      </c>
      <c r="E142" s="44" t="s">
        <v>39</v>
      </c>
      <c r="F142" s="43">
        <v>0</v>
      </c>
      <c r="G142" s="43">
        <v>200</v>
      </c>
      <c r="H142" s="43">
        <v>300</v>
      </c>
      <c r="I142" s="43">
        <v>500</v>
      </c>
    </row>
    <row r="143" spans="2:9" ht="51.75" customHeight="1" x14ac:dyDescent="0.25">
      <c r="B143" s="202"/>
      <c r="C143" s="44" t="s">
        <v>861</v>
      </c>
      <c r="D143" s="44" t="s">
        <v>858</v>
      </c>
      <c r="E143" s="44" t="s">
        <v>39</v>
      </c>
      <c r="F143" s="44">
        <v>0</v>
      </c>
      <c r="G143" s="44">
        <v>0.2</v>
      </c>
      <c r="H143" s="44">
        <v>0.3</v>
      </c>
      <c r="I143" s="44">
        <v>0.5</v>
      </c>
    </row>
    <row r="144" spans="2:9" ht="56.25" customHeight="1" x14ac:dyDescent="0.25">
      <c r="B144" s="198"/>
      <c r="C144" s="44" t="s">
        <v>862</v>
      </c>
      <c r="D144" s="44" t="s">
        <v>858</v>
      </c>
      <c r="E144" s="44" t="s">
        <v>39</v>
      </c>
      <c r="F144" s="44">
        <v>0</v>
      </c>
      <c r="G144" s="44">
        <v>0.2</v>
      </c>
      <c r="H144" s="44">
        <v>0.3</v>
      </c>
      <c r="I144" s="44">
        <v>0.5</v>
      </c>
    </row>
    <row r="145" spans="2:9" ht="31.5" x14ac:dyDescent="0.25">
      <c r="B145" s="197" t="s">
        <v>865</v>
      </c>
      <c r="C145" s="44" t="s">
        <v>866</v>
      </c>
      <c r="D145" s="44" t="s">
        <v>867</v>
      </c>
      <c r="E145" s="44" t="s">
        <v>39</v>
      </c>
      <c r="F145" s="44">
        <v>0.5</v>
      </c>
      <c r="G145" s="44">
        <v>0.5</v>
      </c>
      <c r="H145" s="44">
        <v>0</v>
      </c>
      <c r="I145" s="44">
        <v>0</v>
      </c>
    </row>
    <row r="146" spans="2:9" ht="24" customHeight="1" thickBot="1" x14ac:dyDescent="0.3">
      <c r="B146" s="198"/>
      <c r="C146" s="44" t="s">
        <v>868</v>
      </c>
      <c r="D146" s="44" t="s">
        <v>867</v>
      </c>
      <c r="E146" s="44" t="s">
        <v>39</v>
      </c>
      <c r="F146" s="44">
        <v>0</v>
      </c>
      <c r="G146" s="44">
        <v>0</v>
      </c>
      <c r="H146" s="44">
        <v>0.1</v>
      </c>
      <c r="I146" s="44">
        <v>0.9</v>
      </c>
    </row>
    <row r="147" spans="2:9" ht="26.25" customHeight="1" thickBot="1" x14ac:dyDescent="0.35">
      <c r="B147" s="199" t="s">
        <v>870</v>
      </c>
      <c r="C147" s="200"/>
      <c r="D147" s="200"/>
      <c r="E147" s="200"/>
      <c r="F147" s="200"/>
      <c r="G147" s="200"/>
      <c r="H147" s="200"/>
      <c r="I147" s="201"/>
    </row>
    <row r="148" spans="2:9" ht="35.25" customHeight="1" x14ac:dyDescent="0.25">
      <c r="B148" s="53" t="s">
        <v>6</v>
      </c>
      <c r="C148" s="53" t="s">
        <v>1108</v>
      </c>
      <c r="D148" s="53" t="s">
        <v>9</v>
      </c>
      <c r="E148" s="53" t="s">
        <v>12</v>
      </c>
      <c r="F148" s="53" t="s">
        <v>1109</v>
      </c>
      <c r="G148" s="53" t="s">
        <v>1110</v>
      </c>
      <c r="H148" s="53" t="s">
        <v>1111</v>
      </c>
      <c r="I148" s="53" t="s">
        <v>1112</v>
      </c>
    </row>
    <row r="149" spans="2:9" ht="49.5" customHeight="1" x14ac:dyDescent="0.25">
      <c r="B149" s="197" t="s">
        <v>889</v>
      </c>
      <c r="C149" s="44" t="s">
        <v>890</v>
      </c>
      <c r="D149" s="44" t="s">
        <v>760</v>
      </c>
      <c r="E149" s="44" t="s">
        <v>39</v>
      </c>
      <c r="F149" s="43">
        <v>0</v>
      </c>
      <c r="G149" s="43">
        <v>1</v>
      </c>
      <c r="H149" s="43">
        <v>1</v>
      </c>
      <c r="I149" s="43">
        <v>1</v>
      </c>
    </row>
    <row r="150" spans="2:9" ht="63" x14ac:dyDescent="0.25">
      <c r="B150" s="198"/>
      <c r="C150" s="44" t="s">
        <v>891</v>
      </c>
      <c r="D150" s="44" t="s">
        <v>892</v>
      </c>
      <c r="E150" s="44" t="s">
        <v>875</v>
      </c>
      <c r="F150" s="44">
        <v>1</v>
      </c>
      <c r="G150" s="44">
        <v>1</v>
      </c>
      <c r="H150" s="44">
        <v>1</v>
      </c>
      <c r="I150" s="44">
        <v>1</v>
      </c>
    </row>
    <row r="151" spans="2:9" ht="63" x14ac:dyDescent="0.25">
      <c r="B151" s="43" t="s">
        <v>893</v>
      </c>
      <c r="C151" s="44" t="s">
        <v>1135</v>
      </c>
      <c r="D151" s="44" t="s">
        <v>892</v>
      </c>
      <c r="E151" s="44" t="s">
        <v>39</v>
      </c>
      <c r="F151" s="44">
        <v>0.3</v>
      </c>
      <c r="G151" s="44">
        <v>0.5</v>
      </c>
      <c r="H151" s="44">
        <v>0.7</v>
      </c>
      <c r="I151" s="44">
        <v>1</v>
      </c>
    </row>
    <row r="152" spans="2:9" ht="31.5" x14ac:dyDescent="0.25">
      <c r="B152" s="197" t="s">
        <v>895</v>
      </c>
      <c r="C152" s="44" t="s">
        <v>896</v>
      </c>
      <c r="D152" s="44" t="s">
        <v>803</v>
      </c>
      <c r="E152" s="44" t="s">
        <v>39</v>
      </c>
      <c r="F152" s="43">
        <v>4</v>
      </c>
      <c r="G152" s="43">
        <v>8</v>
      </c>
      <c r="H152" s="43">
        <v>10</v>
      </c>
      <c r="I152" s="43">
        <v>12</v>
      </c>
    </row>
    <row r="153" spans="2:9" ht="31.5" x14ac:dyDescent="0.25">
      <c r="B153" s="202"/>
      <c r="C153" s="44" t="s">
        <v>897</v>
      </c>
      <c r="D153" s="44" t="s">
        <v>803</v>
      </c>
      <c r="E153" s="44" t="s">
        <v>39</v>
      </c>
      <c r="F153" s="43">
        <v>1</v>
      </c>
      <c r="G153" s="43">
        <v>2</v>
      </c>
      <c r="H153" s="43">
        <v>4</v>
      </c>
      <c r="I153" s="43">
        <v>3</v>
      </c>
    </row>
    <row r="154" spans="2:9" ht="31.5" x14ac:dyDescent="0.25">
      <c r="B154" s="198"/>
      <c r="C154" s="44" t="s">
        <v>898</v>
      </c>
      <c r="D154" s="44" t="s">
        <v>803</v>
      </c>
      <c r="E154" s="44" t="s">
        <v>39</v>
      </c>
      <c r="F154" s="43">
        <v>0</v>
      </c>
      <c r="G154" s="43">
        <v>1</v>
      </c>
      <c r="H154" s="43">
        <v>1</v>
      </c>
      <c r="I154" s="43">
        <v>0</v>
      </c>
    </row>
    <row r="155" spans="2:9" ht="35.25" customHeight="1" x14ac:dyDescent="0.25">
      <c r="B155" s="43" t="s">
        <v>899</v>
      </c>
      <c r="C155" s="44" t="s">
        <v>900</v>
      </c>
      <c r="D155" s="44" t="s">
        <v>333</v>
      </c>
      <c r="E155" s="44" t="s">
        <v>39</v>
      </c>
      <c r="F155" s="43">
        <v>0</v>
      </c>
      <c r="G155" s="43">
        <v>0</v>
      </c>
      <c r="H155" s="43">
        <v>1</v>
      </c>
      <c r="I155" s="43">
        <v>1</v>
      </c>
    </row>
    <row r="156" spans="2:9" ht="47.25" x14ac:dyDescent="0.25">
      <c r="B156" s="43" t="s">
        <v>901</v>
      </c>
      <c r="C156" s="44" t="s">
        <v>902</v>
      </c>
      <c r="D156" s="44" t="s">
        <v>803</v>
      </c>
      <c r="E156" s="44" t="s">
        <v>39</v>
      </c>
      <c r="F156" s="44">
        <v>0</v>
      </c>
      <c r="G156" s="44">
        <v>0.5</v>
      </c>
      <c r="H156" s="44">
        <v>0.5</v>
      </c>
      <c r="I156" s="44">
        <v>0</v>
      </c>
    </row>
    <row r="157" spans="2:9" ht="47.25" x14ac:dyDescent="0.25">
      <c r="B157" s="43" t="s">
        <v>905</v>
      </c>
      <c r="C157" s="44" t="s">
        <v>906</v>
      </c>
      <c r="D157" s="44" t="s">
        <v>907</v>
      </c>
      <c r="E157" s="44" t="s">
        <v>39</v>
      </c>
      <c r="F157" s="44">
        <v>0</v>
      </c>
      <c r="G157" s="44">
        <v>0.3</v>
      </c>
      <c r="H157" s="44">
        <v>1</v>
      </c>
      <c r="I157" s="44">
        <v>0</v>
      </c>
    </row>
    <row r="158" spans="2:9" ht="58.5" customHeight="1" x14ac:dyDescent="0.25">
      <c r="B158" s="43" t="s">
        <v>917</v>
      </c>
      <c r="C158" s="44" t="s">
        <v>918</v>
      </c>
      <c r="D158" s="44" t="s">
        <v>907</v>
      </c>
      <c r="E158" s="44" t="s">
        <v>39</v>
      </c>
      <c r="F158" s="43">
        <v>0</v>
      </c>
      <c r="G158" s="43">
        <v>3</v>
      </c>
      <c r="H158" s="43">
        <v>3</v>
      </c>
      <c r="I158" s="43">
        <v>4</v>
      </c>
    </row>
    <row r="159" spans="2:9" ht="15.75" x14ac:dyDescent="0.25">
      <c r="B159" s="43" t="s">
        <v>919</v>
      </c>
      <c r="C159" s="44" t="s">
        <v>920</v>
      </c>
      <c r="D159" s="44" t="s">
        <v>838</v>
      </c>
      <c r="E159" s="44" t="s">
        <v>39</v>
      </c>
      <c r="F159" s="43">
        <v>2</v>
      </c>
      <c r="G159" s="43">
        <v>7</v>
      </c>
      <c r="H159" s="43">
        <v>8</v>
      </c>
      <c r="I159" s="43">
        <v>9</v>
      </c>
    </row>
    <row r="160" spans="2:9" ht="38.25" customHeight="1" x14ac:dyDescent="0.25">
      <c r="B160" s="43" t="s">
        <v>922</v>
      </c>
      <c r="C160" s="44" t="s">
        <v>923</v>
      </c>
      <c r="D160" s="44" t="s">
        <v>921</v>
      </c>
      <c r="E160" s="44" t="s">
        <v>39</v>
      </c>
      <c r="F160" s="43">
        <v>0</v>
      </c>
      <c r="G160" s="43">
        <v>33</v>
      </c>
      <c r="H160" s="43">
        <v>34</v>
      </c>
      <c r="I160" s="43">
        <v>33</v>
      </c>
    </row>
    <row r="161" spans="2:9" ht="42" customHeight="1" x14ac:dyDescent="0.25">
      <c r="B161" s="197" t="s">
        <v>924</v>
      </c>
      <c r="C161" s="44" t="s">
        <v>925</v>
      </c>
      <c r="D161" s="44" t="s">
        <v>921</v>
      </c>
      <c r="E161" s="44" t="s">
        <v>39</v>
      </c>
      <c r="F161" s="44">
        <v>0</v>
      </c>
      <c r="G161" s="44">
        <v>1</v>
      </c>
      <c r="H161" s="44">
        <v>1</v>
      </c>
      <c r="I161" s="44">
        <v>1</v>
      </c>
    </row>
    <row r="162" spans="2:9" ht="75.75" customHeight="1" x14ac:dyDescent="0.25">
      <c r="B162" s="198"/>
      <c r="C162" s="44" t="s">
        <v>926</v>
      </c>
      <c r="D162" s="44" t="s">
        <v>921</v>
      </c>
      <c r="E162" s="44" t="s">
        <v>39</v>
      </c>
      <c r="F162" s="44">
        <v>0</v>
      </c>
      <c r="G162" s="44">
        <v>1</v>
      </c>
      <c r="H162" s="44">
        <v>1</v>
      </c>
      <c r="I162" s="44">
        <v>1</v>
      </c>
    </row>
    <row r="163" spans="2:9" ht="45" customHeight="1" thickBot="1" x14ac:dyDescent="0.3">
      <c r="B163" s="43" t="s">
        <v>927</v>
      </c>
      <c r="C163" s="44" t="s">
        <v>928</v>
      </c>
      <c r="D163" s="44" t="s">
        <v>921</v>
      </c>
      <c r="E163" s="44" t="s">
        <v>39</v>
      </c>
      <c r="F163" s="43">
        <v>0</v>
      </c>
      <c r="G163" s="43">
        <v>10</v>
      </c>
      <c r="H163" s="43">
        <v>20</v>
      </c>
      <c r="I163" s="43">
        <v>20</v>
      </c>
    </row>
    <row r="164" spans="2:9" ht="24" customHeight="1" thickBot="1" x14ac:dyDescent="0.35">
      <c r="B164" s="199" t="s">
        <v>929</v>
      </c>
      <c r="C164" s="200"/>
      <c r="D164" s="200"/>
      <c r="E164" s="200"/>
      <c r="F164" s="200"/>
      <c r="G164" s="200"/>
      <c r="H164" s="200"/>
      <c r="I164" s="201"/>
    </row>
    <row r="165" spans="2:9" ht="36" customHeight="1" x14ac:dyDescent="0.25">
      <c r="B165" s="53" t="s">
        <v>6</v>
      </c>
      <c r="C165" s="53" t="s">
        <v>1108</v>
      </c>
      <c r="D165" s="53" t="s">
        <v>9</v>
      </c>
      <c r="E165" s="53" t="s">
        <v>12</v>
      </c>
      <c r="F165" s="53" t="s">
        <v>1109</v>
      </c>
      <c r="G165" s="53" t="s">
        <v>1110</v>
      </c>
      <c r="H165" s="53" t="s">
        <v>1111</v>
      </c>
      <c r="I165" s="53" t="s">
        <v>1112</v>
      </c>
    </row>
    <row r="166" spans="2:9" ht="50.25" hidden="1" customHeight="1" x14ac:dyDescent="0.25">
      <c r="B166" s="43" t="s">
        <v>938</v>
      </c>
      <c r="C166" s="44" t="s">
        <v>939</v>
      </c>
      <c r="D166" s="44" t="s">
        <v>814</v>
      </c>
      <c r="E166" s="44" t="s">
        <v>39</v>
      </c>
      <c r="F166" s="44">
        <v>0</v>
      </c>
      <c r="G166" s="44">
        <v>0.3</v>
      </c>
      <c r="H166" s="44">
        <v>0.3</v>
      </c>
      <c r="I166" s="44">
        <v>0.4</v>
      </c>
    </row>
    <row r="167" spans="2:9" ht="43.5" hidden="1" customHeight="1" x14ac:dyDescent="0.25">
      <c r="B167" s="43" t="s">
        <v>940</v>
      </c>
      <c r="C167" s="44" t="s">
        <v>941</v>
      </c>
      <c r="D167" s="44" t="s">
        <v>814</v>
      </c>
      <c r="E167" s="44" t="s">
        <v>39</v>
      </c>
      <c r="F167" s="44">
        <v>0</v>
      </c>
      <c r="G167" s="44">
        <v>0.5</v>
      </c>
      <c r="H167" s="44">
        <v>0.5</v>
      </c>
      <c r="I167" s="44">
        <v>0</v>
      </c>
    </row>
    <row r="168" spans="2:9" ht="42" hidden="1" customHeight="1" x14ac:dyDescent="0.25">
      <c r="B168" s="43" t="s">
        <v>942</v>
      </c>
      <c r="C168" s="44" t="s">
        <v>943</v>
      </c>
      <c r="D168" s="44" t="s">
        <v>814</v>
      </c>
      <c r="E168" s="44" t="s">
        <v>39</v>
      </c>
      <c r="F168" s="44">
        <v>10</v>
      </c>
      <c r="G168" s="44">
        <v>0.4</v>
      </c>
      <c r="H168" s="44">
        <v>0.3</v>
      </c>
      <c r="I168" s="44">
        <v>0.2</v>
      </c>
    </row>
    <row r="169" spans="2:9" ht="43.5" hidden="1" customHeight="1" x14ac:dyDescent="0.25">
      <c r="B169" s="43" t="s">
        <v>956</v>
      </c>
      <c r="C169" s="44" t="s">
        <v>957</v>
      </c>
      <c r="D169" s="44" t="s">
        <v>220</v>
      </c>
      <c r="E169" s="44" t="s">
        <v>39</v>
      </c>
      <c r="F169" s="44">
        <v>0</v>
      </c>
      <c r="G169" s="44">
        <v>0.2</v>
      </c>
      <c r="H169" s="44">
        <v>0.3</v>
      </c>
      <c r="I169" s="44">
        <v>0.5</v>
      </c>
    </row>
    <row r="170" spans="2:9" ht="74.25" hidden="1" customHeight="1" x14ac:dyDescent="0.25">
      <c r="B170" s="197" t="s">
        <v>959</v>
      </c>
      <c r="C170" s="44" t="s">
        <v>961</v>
      </c>
      <c r="D170" s="44" t="s">
        <v>814</v>
      </c>
      <c r="E170" s="44" t="s">
        <v>39</v>
      </c>
      <c r="F170" s="44">
        <v>0</v>
      </c>
      <c r="G170" s="44">
        <v>0.4</v>
      </c>
      <c r="H170" s="44">
        <v>0.6</v>
      </c>
      <c r="I170" s="44">
        <v>0</v>
      </c>
    </row>
    <row r="171" spans="2:9" ht="54" hidden="1" customHeight="1" x14ac:dyDescent="0.25">
      <c r="B171" s="198"/>
      <c r="C171" s="44" t="s">
        <v>962</v>
      </c>
      <c r="D171" s="44" t="s">
        <v>814</v>
      </c>
      <c r="E171" s="44" t="s">
        <v>39</v>
      </c>
      <c r="F171" s="44">
        <v>0</v>
      </c>
      <c r="G171" s="44">
        <v>0</v>
      </c>
      <c r="H171" s="44">
        <v>0.5</v>
      </c>
      <c r="I171" s="44">
        <v>0.5</v>
      </c>
    </row>
    <row r="172" spans="2:9" ht="35.25" hidden="1" customHeight="1" x14ac:dyDescent="0.25">
      <c r="B172" s="43" t="s">
        <v>963</v>
      </c>
      <c r="C172" s="44" t="s">
        <v>964</v>
      </c>
      <c r="D172" s="44" t="s">
        <v>814</v>
      </c>
      <c r="E172" s="44" t="s">
        <v>39</v>
      </c>
      <c r="F172" s="44">
        <v>10</v>
      </c>
      <c r="G172" s="44">
        <v>0.3</v>
      </c>
      <c r="H172" s="44">
        <v>0.3</v>
      </c>
      <c r="I172" s="44">
        <v>0.3</v>
      </c>
    </row>
    <row r="173" spans="2:9" ht="37.5" hidden="1" customHeight="1" x14ac:dyDescent="0.25">
      <c r="B173" s="43" t="s">
        <v>975</v>
      </c>
      <c r="C173" s="44" t="s">
        <v>976</v>
      </c>
      <c r="D173" s="44" t="s">
        <v>977</v>
      </c>
      <c r="E173" s="44" t="s">
        <v>39</v>
      </c>
      <c r="F173" s="44">
        <v>0</v>
      </c>
      <c r="G173" s="44">
        <v>0.17</v>
      </c>
      <c r="H173" s="44">
        <v>0.5</v>
      </c>
      <c r="I173" s="44">
        <v>0.33</v>
      </c>
    </row>
    <row r="174" spans="2:9" ht="35.25" hidden="1" customHeight="1" x14ac:dyDescent="0.25">
      <c r="B174" s="197" t="s">
        <v>978</v>
      </c>
      <c r="C174" s="44" t="s">
        <v>979</v>
      </c>
      <c r="D174" s="44" t="s">
        <v>980</v>
      </c>
      <c r="E174" s="44" t="s">
        <v>981</v>
      </c>
      <c r="F174" s="43">
        <v>2</v>
      </c>
      <c r="G174" s="43">
        <v>0</v>
      </c>
      <c r="H174" s="43">
        <v>0</v>
      </c>
      <c r="I174" s="43">
        <v>0</v>
      </c>
    </row>
    <row r="175" spans="2:9" ht="34.5" hidden="1" customHeight="1" x14ac:dyDescent="0.25">
      <c r="B175" s="198"/>
      <c r="C175" s="44" t="s">
        <v>982</v>
      </c>
      <c r="D175" s="44" t="s">
        <v>980</v>
      </c>
      <c r="E175" s="44" t="s">
        <v>981</v>
      </c>
      <c r="F175" s="44">
        <v>0.14000000000000001</v>
      </c>
      <c r="G175" s="44">
        <v>0.22</v>
      </c>
      <c r="H175" s="44">
        <v>0.32</v>
      </c>
      <c r="I175" s="44">
        <v>0.32</v>
      </c>
    </row>
    <row r="176" spans="2:9" ht="33" customHeight="1" x14ac:dyDescent="0.25">
      <c r="B176" s="43" t="s">
        <v>985</v>
      </c>
      <c r="C176" s="44" t="s">
        <v>986</v>
      </c>
      <c r="D176" s="44" t="s">
        <v>977</v>
      </c>
      <c r="E176" s="44" t="s">
        <v>39</v>
      </c>
      <c r="F176" s="43">
        <v>2</v>
      </c>
      <c r="G176" s="43">
        <v>2</v>
      </c>
      <c r="H176" s="43">
        <v>2</v>
      </c>
      <c r="I176" s="43">
        <v>2</v>
      </c>
    </row>
    <row r="177" spans="2:9" ht="63" x14ac:dyDescent="0.25">
      <c r="B177" s="43" t="s">
        <v>987</v>
      </c>
      <c r="C177" s="44" t="s">
        <v>976</v>
      </c>
      <c r="D177" s="44" t="s">
        <v>977</v>
      </c>
      <c r="E177" s="44" t="s">
        <v>39</v>
      </c>
      <c r="F177" s="44">
        <v>0</v>
      </c>
      <c r="G177" s="44">
        <v>0.4</v>
      </c>
      <c r="H177" s="44">
        <v>0.4</v>
      </c>
      <c r="I177" s="44">
        <v>0.2</v>
      </c>
    </row>
    <row r="178" spans="2:9" ht="47.25" x14ac:dyDescent="0.25">
      <c r="B178" s="43" t="s">
        <v>989</v>
      </c>
      <c r="C178" s="44" t="s">
        <v>1136</v>
      </c>
      <c r="D178" s="44" t="s">
        <v>776</v>
      </c>
      <c r="E178" s="44" t="s">
        <v>39</v>
      </c>
      <c r="F178" s="44">
        <v>0</v>
      </c>
      <c r="G178" s="44">
        <v>0.2</v>
      </c>
      <c r="H178" s="44">
        <v>0.3</v>
      </c>
      <c r="I178" s="44">
        <v>0.5</v>
      </c>
    </row>
    <row r="179" spans="2:9" ht="54" customHeight="1" x14ac:dyDescent="0.25">
      <c r="B179" s="43" t="s">
        <v>991</v>
      </c>
      <c r="C179" s="44" t="s">
        <v>992</v>
      </c>
      <c r="D179" s="44" t="s">
        <v>993</v>
      </c>
      <c r="E179" s="44" t="s">
        <v>39</v>
      </c>
      <c r="F179" s="43">
        <v>0</v>
      </c>
      <c r="G179" s="43">
        <v>0</v>
      </c>
      <c r="H179" s="43">
        <v>1</v>
      </c>
      <c r="I179" s="43">
        <v>1</v>
      </c>
    </row>
    <row r="180" spans="2:9" ht="52.5" customHeight="1" x14ac:dyDescent="0.25">
      <c r="B180" s="43" t="s">
        <v>994</v>
      </c>
      <c r="C180" s="44" t="s">
        <v>995</v>
      </c>
      <c r="D180" s="44" t="s">
        <v>1137</v>
      </c>
      <c r="E180" s="44" t="s">
        <v>39</v>
      </c>
      <c r="F180" s="43">
        <v>4</v>
      </c>
      <c r="G180" s="43">
        <v>6</v>
      </c>
      <c r="H180" s="43">
        <v>0</v>
      </c>
      <c r="I180" s="43">
        <v>0</v>
      </c>
    </row>
    <row r="181" spans="2:9" ht="52.5" customHeight="1" x14ac:dyDescent="0.25">
      <c r="B181" s="43" t="s">
        <v>996</v>
      </c>
      <c r="C181" s="44" t="s">
        <v>997</v>
      </c>
      <c r="D181" s="44" t="s">
        <v>1137</v>
      </c>
      <c r="E181" s="44" t="s">
        <v>39</v>
      </c>
      <c r="F181" s="43">
        <v>1</v>
      </c>
      <c r="G181" s="43">
        <v>2</v>
      </c>
      <c r="H181" s="43">
        <v>1</v>
      </c>
      <c r="I181" s="43">
        <v>1</v>
      </c>
    </row>
    <row r="182" spans="2:9" ht="52.5" customHeight="1" x14ac:dyDescent="0.25">
      <c r="B182" s="43" t="s">
        <v>1000</v>
      </c>
      <c r="C182" s="44" t="s">
        <v>1001</v>
      </c>
      <c r="D182" s="44" t="s">
        <v>1137</v>
      </c>
      <c r="E182" s="44" t="s">
        <v>39</v>
      </c>
      <c r="F182" s="44">
        <v>1</v>
      </c>
      <c r="G182" s="44">
        <v>1</v>
      </c>
      <c r="H182" s="44">
        <v>1</v>
      </c>
      <c r="I182" s="44">
        <v>1</v>
      </c>
    </row>
    <row r="183" spans="2:9" ht="47.25" x14ac:dyDescent="0.25">
      <c r="B183" s="43" t="s">
        <v>1002</v>
      </c>
      <c r="C183" s="44" t="s">
        <v>1003</v>
      </c>
      <c r="D183" s="44" t="s">
        <v>835</v>
      </c>
      <c r="E183" s="44" t="s">
        <v>39</v>
      </c>
      <c r="F183" s="44">
        <v>0</v>
      </c>
      <c r="G183" s="44">
        <v>0.5</v>
      </c>
      <c r="H183" s="44">
        <v>0.5</v>
      </c>
      <c r="I183" s="44">
        <v>0</v>
      </c>
    </row>
    <row r="184" spans="2:9" ht="48" thickBot="1" x14ac:dyDescent="0.3">
      <c r="B184" s="43" t="s">
        <v>1004</v>
      </c>
      <c r="C184" s="44" t="s">
        <v>1138</v>
      </c>
      <c r="D184" s="44" t="s">
        <v>1005</v>
      </c>
      <c r="E184" s="44" t="s">
        <v>39</v>
      </c>
      <c r="F184" s="44">
        <v>0</v>
      </c>
      <c r="G184" s="44">
        <v>0.2</v>
      </c>
      <c r="H184" s="44">
        <v>0.3</v>
      </c>
      <c r="I184" s="44">
        <v>0.5</v>
      </c>
    </row>
    <row r="185" spans="2:9" ht="19.5" thickBot="1" x14ac:dyDescent="0.35">
      <c r="B185" s="199" t="s">
        <v>1006</v>
      </c>
      <c r="C185" s="200"/>
      <c r="D185" s="200"/>
      <c r="E185" s="200"/>
      <c r="F185" s="200"/>
      <c r="G185" s="200"/>
      <c r="H185" s="200"/>
      <c r="I185" s="201"/>
    </row>
    <row r="186" spans="2:9" ht="43.5" customHeight="1" x14ac:dyDescent="0.25">
      <c r="B186" s="53" t="s">
        <v>6</v>
      </c>
      <c r="C186" s="53" t="s">
        <v>1108</v>
      </c>
      <c r="D186" s="53" t="s">
        <v>9</v>
      </c>
      <c r="E186" s="53" t="s">
        <v>12</v>
      </c>
      <c r="F186" s="53" t="s">
        <v>1109</v>
      </c>
      <c r="G186" s="53" t="s">
        <v>1110</v>
      </c>
      <c r="H186" s="53" t="s">
        <v>1111</v>
      </c>
      <c r="I186" s="53" t="s">
        <v>1112</v>
      </c>
    </row>
    <row r="187" spans="2:9" ht="47.25" x14ac:dyDescent="0.25">
      <c r="B187" s="197" t="s">
        <v>1011</v>
      </c>
      <c r="C187" s="44" t="s">
        <v>1012</v>
      </c>
      <c r="D187" s="44" t="s">
        <v>1013</v>
      </c>
      <c r="E187" s="44" t="s">
        <v>39</v>
      </c>
      <c r="F187" s="44">
        <v>0</v>
      </c>
      <c r="G187" s="44">
        <v>0.2</v>
      </c>
      <c r="H187" s="44">
        <v>0.3</v>
      </c>
      <c r="I187" s="44">
        <v>0.5</v>
      </c>
    </row>
    <row r="188" spans="2:9" ht="31.5" x14ac:dyDescent="0.25">
      <c r="B188" s="202"/>
      <c r="C188" s="44" t="s">
        <v>1015</v>
      </c>
      <c r="D188" s="44" t="s">
        <v>1013</v>
      </c>
      <c r="E188" s="44" t="s">
        <v>39</v>
      </c>
      <c r="F188" s="44">
        <v>0</v>
      </c>
      <c r="G188" s="44">
        <v>0.5</v>
      </c>
      <c r="H188" s="44">
        <v>0.5</v>
      </c>
      <c r="I188" s="44">
        <v>0</v>
      </c>
    </row>
    <row r="189" spans="2:9" ht="31.5" x14ac:dyDescent="0.25">
      <c r="B189" s="202"/>
      <c r="C189" s="44" t="s">
        <v>1017</v>
      </c>
      <c r="D189" s="44" t="s">
        <v>835</v>
      </c>
      <c r="E189" s="44" t="s">
        <v>39</v>
      </c>
      <c r="F189" s="43">
        <v>0</v>
      </c>
      <c r="G189" s="43">
        <v>500</v>
      </c>
      <c r="H189" s="43">
        <v>1000</v>
      </c>
      <c r="I189" s="43">
        <v>2400</v>
      </c>
    </row>
    <row r="190" spans="2:9" ht="31.5" x14ac:dyDescent="0.25">
      <c r="B190" s="202"/>
      <c r="C190" s="44" t="s">
        <v>1018</v>
      </c>
      <c r="D190" s="44" t="s">
        <v>835</v>
      </c>
      <c r="E190" s="44" t="s">
        <v>39</v>
      </c>
      <c r="F190" s="44">
        <v>0</v>
      </c>
      <c r="G190" s="44">
        <v>0.2</v>
      </c>
      <c r="H190" s="44">
        <v>0.3</v>
      </c>
      <c r="I190" s="44">
        <v>0.5</v>
      </c>
    </row>
    <row r="191" spans="2:9" ht="47.25" x14ac:dyDescent="0.25">
      <c r="B191" s="198"/>
      <c r="C191" s="44" t="s">
        <v>1019</v>
      </c>
      <c r="D191" s="44" t="s">
        <v>1020</v>
      </c>
      <c r="E191" s="44" t="s">
        <v>39</v>
      </c>
      <c r="F191" s="44">
        <v>0</v>
      </c>
      <c r="G191" s="44">
        <v>0.2</v>
      </c>
      <c r="H191" s="44">
        <v>0.3</v>
      </c>
      <c r="I191" s="44">
        <v>0.5</v>
      </c>
    </row>
    <row r="192" spans="2:9" ht="31.5" x14ac:dyDescent="0.25">
      <c r="B192" s="43" t="s">
        <v>1021</v>
      </c>
      <c r="C192" s="44" t="s">
        <v>1022</v>
      </c>
      <c r="D192" s="44" t="s">
        <v>1023</v>
      </c>
      <c r="E192" s="44" t="s">
        <v>39</v>
      </c>
      <c r="F192" s="43">
        <v>0</v>
      </c>
      <c r="G192" s="43">
        <v>50000</v>
      </c>
      <c r="H192" s="43">
        <v>130000</v>
      </c>
      <c r="I192" s="43">
        <v>100000</v>
      </c>
    </row>
    <row r="193" spans="2:9" ht="32.25" thickBot="1" x14ac:dyDescent="0.3">
      <c r="B193" s="43" t="s">
        <v>1025</v>
      </c>
      <c r="C193" s="44" t="s">
        <v>1026</v>
      </c>
      <c r="D193" s="44" t="s">
        <v>1013</v>
      </c>
      <c r="E193" s="44" t="s">
        <v>39</v>
      </c>
      <c r="F193" s="44">
        <v>0</v>
      </c>
      <c r="G193" s="44">
        <v>0.3</v>
      </c>
      <c r="H193" s="44">
        <v>0.3</v>
      </c>
      <c r="I193" s="44">
        <v>0.4</v>
      </c>
    </row>
    <row r="194" spans="2:9" ht="24.75" customHeight="1" thickBot="1" x14ac:dyDescent="0.35">
      <c r="B194" s="199" t="s">
        <v>1040</v>
      </c>
      <c r="C194" s="200"/>
      <c r="D194" s="200"/>
      <c r="E194" s="200"/>
      <c r="F194" s="200"/>
      <c r="G194" s="200"/>
      <c r="H194" s="200"/>
      <c r="I194" s="201"/>
    </row>
    <row r="195" spans="2:9" ht="42.75" customHeight="1" x14ac:dyDescent="0.25">
      <c r="B195" s="53" t="s">
        <v>6</v>
      </c>
      <c r="C195" s="53" t="s">
        <v>1108</v>
      </c>
      <c r="D195" s="53" t="s">
        <v>9</v>
      </c>
      <c r="E195" s="53" t="s">
        <v>12</v>
      </c>
      <c r="F195" s="53" t="s">
        <v>1109</v>
      </c>
      <c r="G195" s="53" t="s">
        <v>1110</v>
      </c>
      <c r="H195" s="53" t="s">
        <v>1111</v>
      </c>
      <c r="I195" s="53" t="s">
        <v>1112</v>
      </c>
    </row>
    <row r="196" spans="2:9" ht="55.5" customHeight="1" x14ac:dyDescent="0.25">
      <c r="B196" s="197" t="s">
        <v>1043</v>
      </c>
      <c r="C196" s="44" t="s">
        <v>1044</v>
      </c>
      <c r="D196" s="44" t="s">
        <v>223</v>
      </c>
      <c r="E196" s="44" t="s">
        <v>39</v>
      </c>
      <c r="F196" s="44">
        <v>1</v>
      </c>
      <c r="G196" s="44">
        <v>0</v>
      </c>
      <c r="H196" s="44">
        <v>0</v>
      </c>
      <c r="I196" s="44">
        <v>0</v>
      </c>
    </row>
    <row r="197" spans="2:9" ht="47.25" x14ac:dyDescent="0.25">
      <c r="B197" s="202"/>
      <c r="C197" s="44" t="s">
        <v>1045</v>
      </c>
      <c r="D197" s="44" t="s">
        <v>223</v>
      </c>
      <c r="E197" s="44" t="s">
        <v>39</v>
      </c>
      <c r="F197" s="44">
        <v>0</v>
      </c>
      <c r="G197" s="44">
        <v>1</v>
      </c>
      <c r="H197" s="44">
        <v>0</v>
      </c>
      <c r="I197" s="44">
        <v>0</v>
      </c>
    </row>
    <row r="198" spans="2:9" ht="42" customHeight="1" x14ac:dyDescent="0.25">
      <c r="B198" s="198"/>
      <c r="C198" s="44" t="s">
        <v>1046</v>
      </c>
      <c r="D198" s="44" t="s">
        <v>223</v>
      </c>
      <c r="E198" s="44" t="s">
        <v>39</v>
      </c>
      <c r="F198" s="44">
        <v>0.01</v>
      </c>
      <c r="G198" s="44">
        <v>0.37</v>
      </c>
      <c r="H198" s="44">
        <v>0.28999999999999998</v>
      </c>
      <c r="I198" s="44">
        <v>0.33</v>
      </c>
    </row>
    <row r="199" spans="2:9" ht="87" customHeight="1" x14ac:dyDescent="0.25">
      <c r="B199" s="43" t="s">
        <v>1047</v>
      </c>
      <c r="C199" s="44" t="s">
        <v>1048</v>
      </c>
      <c r="D199" s="44" t="s">
        <v>1013</v>
      </c>
      <c r="E199" s="44" t="s">
        <v>39</v>
      </c>
      <c r="F199" s="43">
        <v>0</v>
      </c>
      <c r="G199" s="43">
        <v>5</v>
      </c>
      <c r="H199" s="43">
        <v>10</v>
      </c>
      <c r="I199" s="43">
        <v>10</v>
      </c>
    </row>
    <row r="200" spans="2:9" ht="42.75" customHeight="1" x14ac:dyDescent="0.25">
      <c r="B200" s="197" t="s">
        <v>1055</v>
      </c>
      <c r="C200" s="44" t="s">
        <v>1056</v>
      </c>
      <c r="D200" s="44" t="s">
        <v>1013</v>
      </c>
      <c r="E200" s="44" t="s">
        <v>39</v>
      </c>
      <c r="F200" s="44">
        <v>0</v>
      </c>
      <c r="G200" s="44">
        <v>0.4</v>
      </c>
      <c r="H200" s="44">
        <v>0.6</v>
      </c>
      <c r="I200" s="44">
        <v>0</v>
      </c>
    </row>
    <row r="201" spans="2:9" ht="37.5" customHeight="1" x14ac:dyDescent="0.25">
      <c r="B201" s="202"/>
      <c r="C201" s="44" t="s">
        <v>1057</v>
      </c>
      <c r="D201" s="44" t="s">
        <v>1013</v>
      </c>
      <c r="E201" s="44" t="s">
        <v>39</v>
      </c>
      <c r="F201" s="44">
        <v>0</v>
      </c>
      <c r="G201" s="44">
        <v>0.5</v>
      </c>
      <c r="H201" s="44">
        <v>0.5</v>
      </c>
      <c r="I201" s="44">
        <v>0</v>
      </c>
    </row>
    <row r="202" spans="2:9" ht="21.75" customHeight="1" x14ac:dyDescent="0.25">
      <c r="B202" s="198"/>
      <c r="C202" s="44" t="s">
        <v>1058</v>
      </c>
      <c r="D202" s="44" t="s">
        <v>1013</v>
      </c>
      <c r="E202" s="44" t="s">
        <v>39</v>
      </c>
      <c r="F202" s="43">
        <v>0</v>
      </c>
      <c r="G202" s="43">
        <v>1</v>
      </c>
      <c r="H202" s="43">
        <v>2</v>
      </c>
      <c r="I202" s="43">
        <v>1</v>
      </c>
    </row>
    <row r="203" spans="2:9" ht="66" customHeight="1" x14ac:dyDescent="0.25">
      <c r="B203" s="197" t="s">
        <v>1068</v>
      </c>
      <c r="C203" s="44" t="s">
        <v>1069</v>
      </c>
      <c r="D203" s="44" t="s">
        <v>1013</v>
      </c>
      <c r="E203" s="44" t="s">
        <v>39</v>
      </c>
      <c r="F203" s="44">
        <v>0</v>
      </c>
      <c r="G203" s="44">
        <v>0.2</v>
      </c>
      <c r="H203" s="44">
        <v>0.4</v>
      </c>
      <c r="I203" s="44">
        <v>0.4</v>
      </c>
    </row>
    <row r="204" spans="2:9" ht="23.25" customHeight="1" x14ac:dyDescent="0.25">
      <c r="B204" s="198"/>
      <c r="C204" s="44" t="s">
        <v>1070</v>
      </c>
      <c r="D204" s="44" t="s">
        <v>1013</v>
      </c>
      <c r="E204" s="44" t="s">
        <v>39</v>
      </c>
      <c r="F204" s="43">
        <v>2</v>
      </c>
      <c r="G204" s="43">
        <v>2</v>
      </c>
      <c r="H204" s="43">
        <v>2</v>
      </c>
      <c r="I204" s="43">
        <v>2</v>
      </c>
    </row>
    <row r="205" spans="2:9" ht="37.5" customHeight="1" x14ac:dyDescent="0.25">
      <c r="B205" s="197" t="s">
        <v>1072</v>
      </c>
      <c r="C205" s="44" t="s">
        <v>1073</v>
      </c>
      <c r="D205" s="44" t="s">
        <v>337</v>
      </c>
      <c r="E205" s="44" t="s">
        <v>39</v>
      </c>
      <c r="F205" s="44">
        <v>0</v>
      </c>
      <c r="G205" s="44">
        <v>0.5</v>
      </c>
      <c r="H205" s="44">
        <v>0.5</v>
      </c>
      <c r="I205" s="44">
        <v>0</v>
      </c>
    </row>
    <row r="206" spans="2:9" ht="39" customHeight="1" x14ac:dyDescent="0.25">
      <c r="B206" s="198"/>
      <c r="C206" s="44" t="s">
        <v>1075</v>
      </c>
      <c r="D206" s="44" t="s">
        <v>1013</v>
      </c>
      <c r="E206" s="44" t="s">
        <v>39</v>
      </c>
      <c r="F206" s="44">
        <v>0</v>
      </c>
      <c r="G206" s="44">
        <v>0.2</v>
      </c>
      <c r="H206" s="44">
        <v>0.4</v>
      </c>
      <c r="I206" s="44">
        <v>0.4</v>
      </c>
    </row>
    <row r="207" spans="2:9" ht="21.75" customHeight="1" thickBot="1" x14ac:dyDescent="0.3">
      <c r="B207" s="43" t="s">
        <v>1078</v>
      </c>
      <c r="C207" s="44" t="s">
        <v>928</v>
      </c>
      <c r="D207" s="44" t="s">
        <v>337</v>
      </c>
      <c r="E207" s="44" t="s">
        <v>39</v>
      </c>
      <c r="F207" s="43">
        <v>0</v>
      </c>
      <c r="G207" s="43">
        <v>10</v>
      </c>
      <c r="H207" s="43">
        <v>15</v>
      </c>
      <c r="I207" s="43">
        <v>15</v>
      </c>
    </row>
    <row r="208" spans="2:9" ht="29.25" customHeight="1" thickBot="1" x14ac:dyDescent="0.35">
      <c r="B208" s="199" t="s">
        <v>1079</v>
      </c>
      <c r="C208" s="200"/>
      <c r="D208" s="200"/>
      <c r="E208" s="200"/>
      <c r="F208" s="200"/>
      <c r="G208" s="200"/>
      <c r="H208" s="200"/>
      <c r="I208" s="201"/>
    </row>
    <row r="209" spans="2:9" ht="40.5" customHeight="1" x14ac:dyDescent="0.25">
      <c r="B209" s="53" t="s">
        <v>6</v>
      </c>
      <c r="C209" s="53" t="s">
        <v>1108</v>
      </c>
      <c r="D209" s="53" t="s">
        <v>9</v>
      </c>
      <c r="E209" s="53" t="s">
        <v>12</v>
      </c>
      <c r="F209" s="53" t="s">
        <v>1109</v>
      </c>
      <c r="G209" s="53" t="s">
        <v>1110</v>
      </c>
      <c r="H209" s="53" t="s">
        <v>1111</v>
      </c>
      <c r="I209" s="53" t="s">
        <v>1112</v>
      </c>
    </row>
    <row r="210" spans="2:9" ht="47.25" x14ac:dyDescent="0.25">
      <c r="B210" s="197" t="s">
        <v>1083</v>
      </c>
      <c r="C210" s="44" t="s">
        <v>1084</v>
      </c>
      <c r="D210" s="44" t="s">
        <v>172</v>
      </c>
      <c r="E210" s="44" t="s">
        <v>39</v>
      </c>
      <c r="F210" s="44">
        <v>0</v>
      </c>
      <c r="G210" s="44">
        <v>0.2</v>
      </c>
      <c r="H210" s="44">
        <v>0.4</v>
      </c>
      <c r="I210" s="44">
        <v>0.4</v>
      </c>
    </row>
    <row r="211" spans="2:9" ht="31.5" x14ac:dyDescent="0.25">
      <c r="B211" s="202"/>
      <c r="C211" s="44" t="s">
        <v>1085</v>
      </c>
      <c r="D211" s="44" t="s">
        <v>172</v>
      </c>
      <c r="E211" s="44" t="s">
        <v>39</v>
      </c>
      <c r="F211" s="44">
        <v>0</v>
      </c>
      <c r="G211" s="44">
        <v>0.35</v>
      </c>
      <c r="H211" s="44">
        <v>0.35</v>
      </c>
      <c r="I211" s="44">
        <v>0.3</v>
      </c>
    </row>
    <row r="212" spans="2:9" ht="94.5" x14ac:dyDescent="0.25">
      <c r="B212" s="202"/>
      <c r="C212" s="44" t="s">
        <v>1086</v>
      </c>
      <c r="D212" s="44" t="s">
        <v>1087</v>
      </c>
      <c r="E212" s="44" t="s">
        <v>39</v>
      </c>
      <c r="F212" s="44">
        <v>0</v>
      </c>
      <c r="G212" s="44">
        <v>1</v>
      </c>
      <c r="H212" s="44">
        <v>0</v>
      </c>
      <c r="I212" s="44">
        <v>0</v>
      </c>
    </row>
    <row r="213" spans="2:9" ht="31.5" x14ac:dyDescent="0.25">
      <c r="B213" s="202"/>
      <c r="C213" s="44" t="s">
        <v>1088</v>
      </c>
      <c r="D213" s="44" t="s">
        <v>172</v>
      </c>
      <c r="E213" s="44" t="s">
        <v>39</v>
      </c>
      <c r="F213" s="44">
        <v>0</v>
      </c>
      <c r="G213" s="44">
        <v>0.2</v>
      </c>
      <c r="H213" s="44">
        <v>0.3</v>
      </c>
      <c r="I213" s="44">
        <v>0.5</v>
      </c>
    </row>
    <row r="214" spans="2:9" ht="31.5" x14ac:dyDescent="0.25">
      <c r="B214" s="202"/>
      <c r="C214" s="44" t="s">
        <v>1089</v>
      </c>
      <c r="D214" s="44" t="s">
        <v>172</v>
      </c>
      <c r="E214" s="44" t="s">
        <v>39</v>
      </c>
      <c r="F214" s="44">
        <v>0</v>
      </c>
      <c r="G214" s="44">
        <v>0.2</v>
      </c>
      <c r="H214" s="44">
        <v>0.3</v>
      </c>
      <c r="I214" s="44">
        <v>0.5</v>
      </c>
    </row>
    <row r="215" spans="2:9" ht="78.75" x14ac:dyDescent="0.25">
      <c r="B215" s="198"/>
      <c r="C215" s="44" t="s">
        <v>1090</v>
      </c>
      <c r="D215" s="44" t="s">
        <v>1091</v>
      </c>
      <c r="E215" s="44" t="s">
        <v>39</v>
      </c>
      <c r="F215" s="44">
        <v>0</v>
      </c>
      <c r="G215" s="44">
        <v>1</v>
      </c>
      <c r="H215" s="44">
        <v>0</v>
      </c>
      <c r="I215" s="44">
        <v>0</v>
      </c>
    </row>
    <row r="216" spans="2:9" ht="58.5" customHeight="1" x14ac:dyDescent="0.25">
      <c r="B216" s="43" t="s">
        <v>1094</v>
      </c>
      <c r="C216" s="44" t="s">
        <v>1095</v>
      </c>
      <c r="D216" s="44" t="s">
        <v>1013</v>
      </c>
      <c r="E216" s="44" t="s">
        <v>39</v>
      </c>
      <c r="F216" s="44">
        <v>0</v>
      </c>
      <c r="G216" s="44">
        <v>0.6</v>
      </c>
      <c r="H216" s="44">
        <v>0.4</v>
      </c>
      <c r="I216" s="44">
        <v>0</v>
      </c>
    </row>
    <row r="217" spans="2:9" ht="42" customHeight="1" x14ac:dyDescent="0.25">
      <c r="B217" s="197" t="s">
        <v>1099</v>
      </c>
      <c r="C217" s="44" t="s">
        <v>1101</v>
      </c>
      <c r="D217" s="44" t="s">
        <v>1102</v>
      </c>
      <c r="E217" s="44" t="s">
        <v>39</v>
      </c>
      <c r="F217" s="44">
        <v>0</v>
      </c>
      <c r="G217" s="44">
        <v>0.2</v>
      </c>
      <c r="H217" s="44">
        <v>0.3</v>
      </c>
      <c r="I217" s="44">
        <v>0.5</v>
      </c>
    </row>
    <row r="218" spans="2:9" ht="47.25" x14ac:dyDescent="0.25">
      <c r="B218" s="198"/>
      <c r="C218" s="44" t="s">
        <v>1103</v>
      </c>
      <c r="D218" s="44" t="s">
        <v>172</v>
      </c>
      <c r="E218" s="44" t="s">
        <v>39</v>
      </c>
      <c r="F218" s="44">
        <v>0</v>
      </c>
      <c r="G218" s="44">
        <v>0.5</v>
      </c>
      <c r="H218" s="44">
        <v>0.5</v>
      </c>
      <c r="I218" s="44">
        <v>0</v>
      </c>
    </row>
    <row r="219" spans="2:9" ht="47.25" x14ac:dyDescent="0.25">
      <c r="B219" s="43" t="s">
        <v>1104</v>
      </c>
      <c r="C219" s="44" t="s">
        <v>1105</v>
      </c>
      <c r="D219" s="44" t="s">
        <v>172</v>
      </c>
      <c r="E219" s="44" t="s">
        <v>39</v>
      </c>
      <c r="F219" s="43">
        <v>0</v>
      </c>
      <c r="G219" s="43">
        <v>5</v>
      </c>
      <c r="H219" s="43">
        <v>0</v>
      </c>
      <c r="I219" s="43">
        <v>0</v>
      </c>
    </row>
  </sheetData>
  <mergeCells count="54">
    <mergeCell ref="B32:B35"/>
    <mergeCell ref="B49:B50"/>
    <mergeCell ref="B52:B56"/>
    <mergeCell ref="B59:B60"/>
    <mergeCell ref="B3:I3"/>
    <mergeCell ref="B9:I9"/>
    <mergeCell ref="B16:I16"/>
    <mergeCell ref="B27:I27"/>
    <mergeCell ref="B29:B30"/>
    <mergeCell ref="B72:B73"/>
    <mergeCell ref="B74:B75"/>
    <mergeCell ref="B76:B79"/>
    <mergeCell ref="B80:B81"/>
    <mergeCell ref="B86:B88"/>
    <mergeCell ref="B89:B91"/>
    <mergeCell ref="B96:B97"/>
    <mergeCell ref="B98:B99"/>
    <mergeCell ref="B103:B105"/>
    <mergeCell ref="B106:B108"/>
    <mergeCell ref="B109:B111"/>
    <mergeCell ref="B112:B113"/>
    <mergeCell ref="B123:B124"/>
    <mergeCell ref="B126:B127"/>
    <mergeCell ref="B129:B131"/>
    <mergeCell ref="B132:B134"/>
    <mergeCell ref="B138:B139"/>
    <mergeCell ref="B140:B144"/>
    <mergeCell ref="B145:B146"/>
    <mergeCell ref="B149:B150"/>
    <mergeCell ref="B200:B202"/>
    <mergeCell ref="B203:B204"/>
    <mergeCell ref="B205:B206"/>
    <mergeCell ref="B210:B215"/>
    <mergeCell ref="B152:B154"/>
    <mergeCell ref="B161:B162"/>
    <mergeCell ref="B170:B171"/>
    <mergeCell ref="B174:B175"/>
    <mergeCell ref="B187:B191"/>
    <mergeCell ref="B217:B218"/>
    <mergeCell ref="B47:I47"/>
    <mergeCell ref="B61:I61"/>
    <mergeCell ref="B65:I65"/>
    <mergeCell ref="B84:I84"/>
    <mergeCell ref="B94:I94"/>
    <mergeCell ref="B101:I101"/>
    <mergeCell ref="B115:I115"/>
    <mergeCell ref="B120:I120"/>
    <mergeCell ref="B135:I135"/>
    <mergeCell ref="B147:I147"/>
    <mergeCell ref="B164:I164"/>
    <mergeCell ref="B185:I185"/>
    <mergeCell ref="B194:I194"/>
    <mergeCell ref="B208:I208"/>
    <mergeCell ref="B196:B19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SOY BARRANQUILLA</vt:lpstr>
      <vt:lpstr>nuevoss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ERNESTO TONCEL</dc:creator>
  <cp:keywords/>
  <dc:description/>
  <cp:lastModifiedBy>Juan Carlos Llinas</cp:lastModifiedBy>
  <cp:revision/>
  <dcterms:created xsi:type="dcterms:W3CDTF">2020-03-02T13:39:26Z</dcterms:created>
  <dcterms:modified xsi:type="dcterms:W3CDTF">2022-04-27T14:33:03Z</dcterms:modified>
  <cp:category/>
  <cp:contentStatus/>
</cp:coreProperties>
</file>