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autoCompressPictures="0"/>
  <mc:AlternateContent xmlns:mc="http://schemas.openxmlformats.org/markup-compatibility/2006">
    <mc:Choice Requires="x15">
      <x15ac:absPath xmlns:x15ac="http://schemas.microsoft.com/office/spreadsheetml/2010/11/ac" url="G:\II Seguimiento\"/>
    </mc:Choice>
  </mc:AlternateContent>
  <xr:revisionPtr revIDLastSave="0" documentId="8_{53A4C676-CFB3-458F-9E24-8B66B91A7C4A}" xr6:coauthVersionLast="43" xr6:coauthVersionMax="43" xr10:uidLastSave="{00000000-0000-0000-0000-000000000000}"/>
  <bookViews>
    <workbookView xWindow="-120" yWindow="-120" windowWidth="20640" windowHeight="11160" firstSheet="2" activeTab="2" xr2:uid="{00000000-000D-0000-FFFF-FFFF00000000}"/>
  </bookViews>
  <sheets>
    <sheet name="Partes" sheetId="9" state="hidden" r:id="rId1"/>
    <sheet name="Cuestiones" sheetId="1" state="hidden" r:id="rId2"/>
    <sheet name="Riesgos" sheetId="4" r:id="rId3"/>
    <sheet name="Calificacion Controles" sheetId="10" state="hidden" r:id="rId4"/>
    <sheet name="CriteriosControles" sheetId="11" state="hidden" r:id="rId5"/>
    <sheet name="CriteriosImpacto" sheetId="14" state="hidden" r:id="rId6"/>
    <sheet name="Listas" sheetId="8" state="hidden" r:id="rId7"/>
  </sheets>
  <externalReferences>
    <externalReference r:id="rId8"/>
    <externalReference r:id="rId9"/>
  </externalReferences>
  <definedNames>
    <definedName name="_xlnm._FilterDatabase" localSheetId="1" hidden="1">Cuestiones!$A$2:$H$101</definedName>
    <definedName name="_xlnm._FilterDatabase" localSheetId="2" hidden="1">Riesgos!$A$4:$S$24</definedName>
    <definedName name="_xlnm.Print_Area" localSheetId="2">Riesgos!$A$1:$S$21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 localSheetId="5">Listas!#REF!</definedName>
    <definedName name="correction">Listas!#REF!</definedName>
    <definedName name="cost" localSheetId="3">'Calificacion Controles'!$Q$4:$Q$8</definedName>
    <definedName name="cost" localSheetId="5">Listas!#REF!</definedName>
    <definedName name="cost">Listas!#REF!</definedName>
    <definedName name="CriterioControl" localSheetId="5">CriteriosImpacto!$A$2:$A$15</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 localSheetId="5">Listas!#REF!</definedName>
    <definedName name="riskrep">Listas!#REF!</definedName>
    <definedName name="score" localSheetId="3">'Calificacion Controles'!#REF!</definedName>
    <definedName name="score" localSheetId="5">Listas!#REF!</definedName>
    <definedName name="score">Listas!#REF!</definedName>
    <definedName name="Success" localSheetId="3">'Calificacion Controles'!$T$4:$T$8</definedName>
    <definedName name="Success">Listas!$T$2:$T$6</definedName>
    <definedName name="_xlnm.Print_Titles" localSheetId="2">Riesgos!$A:$B</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 localSheetId="5">Listas!#REF!</definedName>
    <definedName name="Violation">Listas!#REF!</definedName>
  </definedNames>
  <calcPr calcId="191029" iterate="1"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7" i="4" l="1"/>
  <c r="B16" i="10"/>
  <c r="I6" i="4"/>
  <c r="B5" i="10"/>
  <c r="AD5" i="10"/>
  <c r="K6" i="4"/>
  <c r="I7" i="4"/>
  <c r="I8" i="4"/>
  <c r="I9" i="4"/>
  <c r="B8" i="10"/>
  <c r="I11" i="4"/>
  <c r="B10" i="10"/>
  <c r="AD10" i="10"/>
  <c r="K11" i="4"/>
  <c r="I12" i="4"/>
  <c r="B11" i="10"/>
  <c r="I16" i="4"/>
  <c r="B15" i="10"/>
  <c r="I18" i="4"/>
  <c r="B17" i="10"/>
  <c r="AD17" i="10"/>
  <c r="K18" i="4"/>
  <c r="I19" i="4"/>
  <c r="B18" i="10"/>
  <c r="I20" i="4"/>
  <c r="B19" i="10"/>
  <c r="I21" i="4"/>
  <c r="B20" i="10"/>
  <c r="I15" i="4"/>
  <c r="B14" i="10"/>
  <c r="I14" i="4"/>
  <c r="B13" i="10"/>
  <c r="AD13" i="10"/>
  <c r="K14" i="4"/>
  <c r="I13" i="4"/>
  <c r="B12" i="10"/>
  <c r="AD12" i="10"/>
  <c r="K13" i="4"/>
  <c r="AA23" i="10"/>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I13" i="10"/>
  <c r="I12" i="10"/>
  <c r="I11" i="10"/>
  <c r="I10" i="10"/>
  <c r="I9" i="10"/>
  <c r="I8" i="10"/>
  <c r="I7" i="10"/>
  <c r="I6" i="10"/>
  <c r="I5" i="10"/>
  <c r="I4" i="10"/>
  <c r="G23" i="10"/>
  <c r="G22" i="10"/>
  <c r="G21" i="10"/>
  <c r="G20" i="10"/>
  <c r="G19" i="10"/>
  <c r="G18" i="10"/>
  <c r="G17" i="10"/>
  <c r="G16" i="10"/>
  <c r="G15" i="10"/>
  <c r="G14" i="10"/>
  <c r="G13" i="10"/>
  <c r="G12" i="10"/>
  <c r="G11" i="10"/>
  <c r="G10" i="10"/>
  <c r="G9" i="10"/>
  <c r="G8" i="10"/>
  <c r="G7" i="10"/>
  <c r="G6" i="10"/>
  <c r="G5" i="10"/>
  <c r="G4" i="10"/>
  <c r="E5" i="10"/>
  <c r="E6" i="10"/>
  <c r="E7" i="10"/>
  <c r="E8" i="10"/>
  <c r="E9" i="10"/>
  <c r="E10" i="10"/>
  <c r="E11" i="10"/>
  <c r="E12" i="10"/>
  <c r="E13" i="10"/>
  <c r="E14" i="10"/>
  <c r="E15" i="10"/>
  <c r="E16" i="10"/>
  <c r="E17" i="10"/>
  <c r="E18" i="10"/>
  <c r="E19" i="10"/>
  <c r="E20" i="10"/>
  <c r="E21" i="10"/>
  <c r="AB21" i="10"/>
  <c r="AC21" i="10"/>
  <c r="E22" i="10"/>
  <c r="AB22" i="10"/>
  <c r="AC22" i="10"/>
  <c r="E23" i="10"/>
  <c r="AB23" i="10"/>
  <c r="AC23" i="10"/>
  <c r="E4" i="10"/>
  <c r="A23" i="10"/>
  <c r="A22" i="10"/>
  <c r="B23" i="10"/>
  <c r="AD23" i="10"/>
  <c r="B22" i="10"/>
  <c r="B21" i="10"/>
  <c r="AD21" i="10"/>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A6" i="4"/>
  <c r="A7" i="4"/>
  <c r="A8" i="4"/>
  <c r="A10" i="4"/>
  <c r="A11" i="4"/>
  <c r="A12" i="4"/>
  <c r="A13" i="4"/>
  <c r="A14" i="4"/>
  <c r="A15" i="4"/>
  <c r="A16" i="4"/>
  <c r="A17" i="4"/>
  <c r="A18" i="4"/>
  <c r="A19" i="4"/>
  <c r="A20" i="4"/>
  <c r="A21" i="4"/>
  <c r="C11" i="8"/>
  <c r="C10" i="8"/>
  <c r="V18" i="8"/>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V24" i="8"/>
  <c r="C21" i="8"/>
  <c r="C23" i="8"/>
  <c r="A13" i="8"/>
  <c r="C13" i="8"/>
  <c r="A14" i="8"/>
  <c r="C14" i="8"/>
  <c r="A15" i="8"/>
  <c r="C15" i="8"/>
  <c r="A16" i="8"/>
  <c r="C16" i="8"/>
  <c r="A17" i="8"/>
  <c r="C17" i="8"/>
  <c r="C12" i="8"/>
  <c r="I48" i="4"/>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I36" i="4"/>
  <c r="I34" i="4"/>
  <c r="I39" i="4"/>
  <c r="I31" i="4"/>
  <c r="I38" i="4"/>
  <c r="I30" i="4"/>
  <c r="I37" i="4"/>
  <c r="I29" i="4"/>
  <c r="I35" i="4"/>
  <c r="I33" i="4"/>
  <c r="I32" i="4"/>
  <c r="I47" i="4"/>
  <c r="I46" i="4"/>
  <c r="I45" i="4"/>
  <c r="I44" i="4"/>
  <c r="I43" i="4"/>
  <c r="I42" i="4"/>
  <c r="I41" i="4"/>
  <c r="I40" i="4"/>
  <c r="J4" i="4"/>
  <c r="B9" i="10"/>
  <c r="AD9" i="10"/>
  <c r="K10" i="4"/>
  <c r="B4" i="10"/>
  <c r="AD4" i="10"/>
  <c r="K5" i="4"/>
  <c r="AB8" i="10"/>
  <c r="AC8" i="10"/>
  <c r="AD8" i="10"/>
  <c r="K9" i="4"/>
  <c r="AB11" i="10"/>
  <c r="AC11" i="10"/>
  <c r="AD11" i="10"/>
  <c r="K12" i="4"/>
  <c r="AB12" i="10"/>
  <c r="AC12" i="10"/>
  <c r="AB20" i="10"/>
  <c r="AC20" i="10"/>
  <c r="AD20" i="10"/>
  <c r="K21" i="4"/>
  <c r="AB10" i="10"/>
  <c r="AC10" i="10"/>
  <c r="AB14" i="10"/>
  <c r="AC14" i="10"/>
  <c r="AD14" i="10"/>
  <c r="K15" i="4"/>
  <c r="AB15" i="10"/>
  <c r="AC15" i="10"/>
  <c r="AD15" i="10"/>
  <c r="K16" i="4"/>
  <c r="AB9" i="10"/>
  <c r="AC9" i="10"/>
  <c r="AB13" i="10"/>
  <c r="AC13" i="10"/>
  <c r="AB7" i="10"/>
  <c r="AC7" i="10"/>
  <c r="AD22" i="10"/>
  <c r="C22" i="8"/>
  <c r="AB17" i="10"/>
  <c r="AC17" i="10"/>
  <c r="C24" i="8"/>
  <c r="AB16" i="10"/>
  <c r="AC16" i="10"/>
  <c r="AD16" i="10"/>
  <c r="K17" i="4"/>
  <c r="AB6" i="10"/>
  <c r="AC6" i="10"/>
  <c r="B6" i="10"/>
  <c r="B7" i="10"/>
  <c r="AB5" i="10"/>
  <c r="AC5" i="10"/>
  <c r="AB18" i="10"/>
  <c r="AC18" i="10"/>
  <c r="AD18" i="10"/>
  <c r="K19" i="4"/>
  <c r="AB4" i="10"/>
  <c r="AC4" i="10"/>
  <c r="AD7" i="10"/>
  <c r="K8" i="4"/>
  <c r="AD6" i="10"/>
  <c r="K7" i="4"/>
  <c r="AB19" i="10"/>
  <c r="AC19" i="10"/>
  <c r="AD19" i="10"/>
  <c r="K20" i="4"/>
</calcChain>
</file>

<file path=xl/sharedStrings.xml><?xml version="1.0" encoding="utf-8"?>
<sst xmlns="http://schemas.openxmlformats.org/spreadsheetml/2006/main" count="743" uniqueCount="281">
  <si>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</si>
  <si>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</si>
  <si>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</si>
  <si>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</si>
  <si>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</si>
  <si>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</si>
  <si>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</si>
  <si>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</si>
  <si>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</si>
  <si>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</si>
  <si>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</si>
  <si>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</si>
  <si>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</si>
  <si>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</si>
  <si>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</si>
  <si>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</si>
  <si>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</si>
  <si>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</si>
  <si>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</si>
  <si>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</si>
  <si>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</si>
  <si>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</si>
  <si>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</si>
  <si>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</si>
  <si>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</si>
  <si>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</si>
  <si>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</si>
  <si>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</si>
  <si>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</si>
  <si>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</si>
  <si>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</si>
  <si>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</si>
  <si>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</si>
  <si>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</si>
  <si>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</si>
  <si>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</si>
  <si>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</si>
  <si>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</si>
  <si>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</si>
  <si>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</si>
  <si>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</si>
  <si>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</si>
  <si>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</si>
  <si>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</si>
  <si>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</si>
  <si>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</si>
  <si>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</si>
  <si>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</si>
  <si>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</si>
  <si>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</si>
  <si>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</si>
  <si>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</si>
  <si>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</si>
  <si>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</si>
  <si>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</si>
  <si>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</si>
  <si>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</si>
  <si>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</si>
  <si>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</si>
  <si>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</si>
  <si>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</si>
  <si>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</si>
  <si>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</si>
  <si>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</si>
  <si>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</si>
  <si>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</si>
  <si>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</si>
  <si>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</si>
  <si>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</si>
  <si>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</si>
  <si>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</si>
  <si>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</si>
  <si>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</si>
  <si>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</si>
  <si>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</si>
  <si>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</si>
  <si>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</si>
  <si>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</si>
  <si>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</si>
  <si>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</si>
  <si>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</si>
  <si>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</si>
  <si>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</si>
  <si>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</si>
  <si>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</si>
  <si>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</si>
  <si>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</si>
  <si>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</si>
  <si>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</si>
  <si>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</si>
  <si>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</si>
  <si>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</si>
  <si>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</si>
  <si>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</si>
  <si>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</si>
  <si>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</si>
  <si>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</si>
  <si>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</si>
  <si>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</si>
  <si>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</si>
  <si>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</si>
  <si>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</si>
  <si>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</si>
  <si>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</si>
  <si>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</si>
  <si>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</si>
  <si>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</si>
  <si>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</si>
  <si>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</si>
  <si>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</si>
  <si>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</si>
  <si>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</si>
  <si>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</si>
  <si>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</si>
  <si>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</si>
  <si>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</si>
  <si>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</si>
  <si>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</si>
  <si>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</si>
  <si>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</si>
  <si>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</si>
  <si>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</si>
  <si>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</si>
  <si>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</si>
  <si>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</si>
  <si>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Seguimiento I</t>
  </si>
  <si>
    <t>Seguimiento 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</si>
  <si>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</si>
  <si>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</si>
  <si>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</si>
  <si>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</si>
  <si>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</si>
  <si>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</si>
  <si>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</si>
  <si>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</si>
  <si>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</si>
  <si>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</si>
  <si>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</si>
  <si>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</si>
  <si>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</si>
  <si>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</si>
  <si>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</si>
  <si>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</si>
  <si>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</si>
  <si>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</si>
  <si>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</si>
  <si>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</si>
  <si>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</si>
  <si>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</si>
  <si>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</si>
  <si>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</si>
  <si>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</si>
  <si>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</si>
  <si>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</si>
  <si>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</si>
  <si>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</si>
  <si>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</si>
  <si>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</si>
  <si>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</si>
  <si>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</si>
  <si>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</si>
  <si>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</si>
  <si>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</si>
  <si>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</si>
  <si>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</si>
  <si>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</si>
  <si>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</si>
  <si>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</si>
  <si>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</si>
  <si>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</si>
  <si>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</si>
  <si>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</si>
  <si>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</si>
  <si>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</si>
  <si>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</si>
  <si>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</si>
  <si>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</si>
  <si>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</si>
  <si>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</si>
  <si>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</si>
  <si>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</si>
  <si>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</si>
  <si>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</si>
  <si>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</si>
  <si>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</si>
  <si>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</si>
  <si>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Modificar los perfiles de los cargos para admitir a un personal específico</t>
  </si>
  <si>
    <t>Permitir intencionalente la prescripción de los recaudos de la entidad</t>
  </si>
  <si>
    <t>Dilatación de los procesos de investigación y sanción para beneficios particulares</t>
  </si>
  <si>
    <t>Recibir beneficios económicos para agilizar o priorizar un trámite o servicio</t>
  </si>
  <si>
    <t>Direccionar los pliegos de condiciones de los contratos para favorecer a un proponente en particular</t>
  </si>
  <si>
    <t>Se ha producido al menos de una vez en los últimos 5 años.</t>
  </si>
  <si>
    <t>1. Revisión y seguimiento de los proyectos que componen el Sistema de Gestión de Calidad para identificar nuevos trámites, con el fin de garantizar que se publiquen en el portafolio de servicios en el portal y el Sistema Único de Información y Trámites - SUIT, que aplican a los programas especiales.
2.Realizar seguimiento a la gestión ética en el proceso de Programas Especiales, con el fin de fortalecer las actividades y en caso que aplique elaborar planes de mejoramiento.
3. Socializar y aplicar a todo el personal de los proyectos sin excepción las actividades de gestión ética en el proceso de programas especiales.
4. Hacer seguimiento a la conformidad en las respuestas de las PQRSD (De fondo, clara, congruente y oportuna).</t>
  </si>
  <si>
    <t xml:space="preserve">1.Capacitación a funcionarios y contratistas sobre Código disciplinario, Código de Buen Gobierno y Código de Integridad. 2. Implementación de planes de mejoramiento para el fortalecimiento de la gestión ética en cada proceso. 3. Realizar mensualmente análisis de vencimiento de términos a PQRS e implementar acciones tendientes a eliminar las causas de los incumplimientos. </t>
  </si>
  <si>
    <t>Manejar los recursos financieros y/o administración de la información de la entidad en beneficio propio o de terceros.</t>
  </si>
  <si>
    <t>Modificar los documentos de las hojas de vida del personal de planta o extrabajadores para reconocimiento de bonos pensionales</t>
  </si>
  <si>
    <t>1. Controlar el vencimiento de términos de los procesos a partir de la revisión de cada expediente en los procesos que imponen sanciones pecuniarias y disciplinarias</t>
  </si>
  <si>
    <t xml:space="preserve">1. Fortalecer la elaboración de estudios de mercado   a través de la pluralidad de Proveedores que participen en el mismo, de acuerdo con las características del bien y/o servicio que se pretende adquirir. 2. Fortalecer el registro de proveedores a través de la divulgación y convocatorias que realice el Distrito a través de la Secretaria General, con el fin de lograr la pluralidad en el registro. </t>
  </si>
  <si>
    <t>1. Fortalecer al personal con las campañas del programa de ética de la Alcaldía
2. Elaborar mensualmente informes de estado de PQRs por funcionario para implementar acciones de mejora</t>
  </si>
  <si>
    <t>1. Revision semanal de los estados de los expedientes sancionatorios, 2. Capacitación de los funcionarios que tienen a su cargo las apelaciones de los  expedientes sancionatorios</t>
  </si>
  <si>
    <t>1.Generar reportes de comparendos y tasas con deuda de acuerdo al plan de recuperación de cartera para iniciar el proceso de notificación a los deudores. 2. Verificar el proceso de notificación con la empresa de mensajería y continuar el proceso de notificación según lo establecido en el estatuto tributario. 3. Generar reporte de acuerdos de pago incumplidos de comparendos y tasas e iniciar el proceso de Cobro Administrativo Coactivo.</t>
  </si>
  <si>
    <t>1.Socializar con los funcionarios directrices y políticas para las buenas prácticas en la atención de trámites y atención al usuario. 2. Realizar rotación periódica del personal que atiende trámites en las sedes. 3. Monitorear periódicamente tiempos de aprobación de trámites en las diferentes sedes.</t>
  </si>
  <si>
    <t>1. Rotación periódica de los grupos asignados a actividades de IVC (verificación de condiciones de habilitación e IVC). 2. implementar controles en los tiempos de realización de las actividades de los procedimientos tanto de ivc como juridicos. 3.reforzar la retroalimentación con los prestadores de servicios de salud para conocer la percepción delas actividades realizadas por los funcionarios. 4. programar acompañamiento por parte de la jefatura de la oficina en las visitas realizadas.</t>
  </si>
  <si>
    <t>1. Implementación del Plan de gestión etica, 2. Verificacion del cumplimiento de los procedimientos establecidos, sobretodo los puntos de control, 3. Realizar cada cuatro meses monitoreo y revisión de la matriz de riesgos de corrupción, 4. Realizar seguimiento a las Peticiones, Quejas, Reclamos y solicitudes (PQRS), 5. Elaboración de informes financieros trimestrales.</t>
  </si>
  <si>
    <t>1. Involucrar a los funcionarios de la SED en temas referentes al código de la integridad, 2. Realizar mensualmente análisis de vencimiento de términos a PQRS e implementar acciones tendientes a eliminar las causas de los incumplimientos, 3. Auditoría a las respuestas en el sistema de atención al ciudadano SAC, 4. Seguimiento diario a requerimiento por vencer.</t>
  </si>
  <si>
    <t xml:space="preserve">1. Realizar la hoja de servicio en el archivo de historias laborales. 2. Consultar la información en las historias laborales digitalizadas.3. Mantener actualizado el inventario del archivo de historias laborales. 4. Realizar permanentemente el control de préstamos de historias laborales. 5. Generar el certificado de tiempos laborales a través de CETIL. 6. Verificar que la información registrada en CETIL coincida con la información que reposa en la historia laboral. </t>
  </si>
  <si>
    <t>1. Generar reporte de control de vencimiento de términos por inspectores, 2. Identificar los comparendos en audiencia próximos a vencer e Informar a cada inspector para su atención, 3. Generar reporte de control de vencimiento de términos para verificar las acciones realizadas por los inspectores.</t>
  </si>
  <si>
    <t>1. Fortalece al personal con las campaña del programa de etica de la Alcaldia, 2. Elaborar mensualmente informes de estado de PQRs por funcionario para implementar acciones de mejora, 3. Capacitación a los funcionarios que ingresan por primera vez  a la entidad sobre sus derechos, deberes, compatibilidades e incomptabilidades</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</si>
  <si>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 4. Seguimiento apelación de fallo de primera instancia; realizado por jefe de oficina</t>
  </si>
  <si>
    <t>1. Verificar el cumplimiento de los requisitos minimos del cargo a proveer. 2. Revisar que el postulante cumpla con el perfil exigido en el manual de funciones y competencias laborales. 3. Publicar los manuales de funciones y competencias laborales en la página web de la entidad.</t>
  </si>
  <si>
    <t>1.Elaboración de informe de PQR trimestral para revisar oportunidad de respuesta por funcionario</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</si>
  <si>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</si>
  <si>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</si>
  <si>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</si>
  <si>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</si>
  <si>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</si>
  <si>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</si>
  <si>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</si>
  <si>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</si>
  <si>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</si>
  <si>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</si>
  <si>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</si>
  <si>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</si>
  <si>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</si>
  <si>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</si>
  <si>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</si>
  <si>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</si>
  <si>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</si>
  <si>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</si>
  <si>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</si>
  <si>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</si>
  <si>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</si>
  <si>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</si>
  <si>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</si>
  <si>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</si>
  <si>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</si>
  <si>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</si>
  <si>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</si>
  <si>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</si>
  <si>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</si>
  <si>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Informe trimestral elaborado</t>
  </si>
  <si>
    <t xml:space="preserve">En proceso de implementación el plan de mejoramiento para el fortalecimiento de la gestión ética
La capacitación se brinda cuando se presenta el ingreso de nuevos funcionarios 
Se solicitó el informe de PQRS a la oficina atencion al ciudadano el reporte y a la fecha no se ha recibido
Cuando se presente se da el seguimiento apelación de fallo de primera instancia
</t>
  </si>
  <si>
    <t>Fortalecimiento en la elaboraciión de estudios previos para garantizar la pluralidad de proponentes y el registro de proveedores</t>
  </si>
  <si>
    <t>Mensualmente se generó un reporte de cartera con el fin de determinar sobre que obligaciones se va a realizar la gestión de cobro, para no generar actos administrativos sobre obligaciones canceladas. Se generó reporte de los acuerdos de pago incumplidos en el primer trimestre, para iniciar la gestión de cobro de los mismos. Los informes de cartera que se generan mensualmente son para realizar gestión de cobro e implementar acciones que nos permitan realizar un recaudo de la misma. Los reportes de cartera se generan mensualmente  por vigencia de imposición de los comparendos, a la fecha tienen cobro coactivo la cartera de todas las vigencias hasta 2017 que se encuentra en proceso de notificación del mandamiento de pago. Se enviaron masivamente 103.506 mandamientos de pago, estos envíos se realizaron en el mes de marzo y estamos a la  espera que la empresa de mensajería realice la retroalimentacion del estado de los envíos. Una vez se reciba la información por parte de la empresa de mensajería los que se encuentren en estado devuelto serán notificados por publicación para dar por terminado el proceso de notificación del mandamiento. Por otro lado en el primer trimestre de 2019 se han incumplido 1729 acuerdos de pago. Teniendo en cuenta esta información se procederá a imprimir la resolución de incumplimiento y notificarla, para poder dar inicio a la gestión de recuperación de la cartera.</t>
  </si>
  <si>
    <t>Se ravisaron comparendos impuesto entre enero de 2018 y marzo de 2019. Se identifcaron 2065 comparencos que solicitaron audiencia, se revisaron 656 comparendos que se encuentran aun en audiencia para identificar posibles retrasos. Se enviaron correos electrónicos a los inspectores requiriendo celeridad de  los procesos pendientes por fallos y próximos a vencer. Semanalmente se realiza informe y seguimiento de los  comparendos en  audiencia y se envía a los inspectores vía correo electrónico un detallado de cada una de las audiencias a su cargo y estado de los mismos. Se actualiza el funcionamiento de la agenda de audiencias con el fin de equilibrar las cargas en la asignación de las mismas.</t>
  </si>
  <si>
    <t>Semestralmente se realiza rotacion del personal de las sedes de atención al usuario con el fin de evitar reisgos de corrupcion entre los funcionarios y los usuarios que realizan tramites. La ultima rotación se realizó en el mes de febrero, en total se rotaron 20 tecnicos y 16 auxiliares de las sedes de atención al usuario de la Oficina de Registro de Tránsito, aplicando una distribución aleatorea sin repetición para cada sede. Se realiza mensualmente monitoreo de los tiempos de aprobación de trámites radicados en las diferentes sedes, estos resultados se evalúan y analizan trimestralmente obteniendo un tiempo promedio de aprobación de trámites de 7Hr20mins gracias al trabajo articulado entre peresona de Back-Office y de las sede así como al seguimiento diario a las liquidaciones realizadas. Se enviaron correos electronicos sobre el uso adecuado de herramientas tecnológicas, se realizó una capacitaciones sobre modificaciones normativas en el dominio de tránsito, actividades que buscan recordar entre los funcionarios las directrices de trabajo en la atención de trámites y atención al usuario, así como recordar políticas de calidad en el desarrollo de las tareas de la oficina. Se espera desarrollar mensajes y campañas en cada sede alusivos al riesgo de corrupción durante el año.</t>
  </si>
  <si>
    <t>- Se han venido realizando actividades de estimulación a los funcionarios desde el componente etico
- Se crearon 2 nuevos procedimientos
-Se realizo seguimiento al riesgo de corrupcion
-Se realiozaron 2 seguimientos a las PQR en el primer trimestre
- Se realizan constantes seguimientos por la alta dirección a cargos de la secretaria de despacho.</t>
  </si>
  <si>
    <t>1. Se realiza revisión y no se identifican nuevos trámites para registrar.
2. Se están realizando las actividades de acuerdo al Plan Anticorrupción.
3. Socialización del código de integridad con los funcionarios de la dependencia, reforzando valores.
4. El área jurídica reporte en un informe de gestión un análisis y evaluación de las PQRSD mensualmente, elaborando plan de mejoramiento y estado de PQRSD</t>
  </si>
  <si>
    <t>1. 25%
2. 25%
3. 25%
4. 20,79%</t>
  </si>
  <si>
    <t>Se socializan y se comparten todas las campañas que se vienen realizando en la oficina de gestion de riesgo
mensualmente se consolida el estado de las solicitudes o PQRS pendientes con el enlace del sigob</t>
  </si>
  <si>
    <t>1. Revisión semanal se ha venido realizando
2. La capacitación esta programada para el segundo semestre</t>
  </si>
  <si>
    <t>Envio de mensajes alusivos a los valores del codigo de Integridad.
Actividad dirigida a los funcionarios tema(Baúl de los malos habitos)
Se realizo Informe de atención al ciudadano, analizando estadistticas de usuarios atendidos, numero de peticiones radicadas, tipos de requerimiento, medios de recepcion, y PQRS vencidos.
Auditoría de respuesta para el segundo semestre
Se realiza seguimiento diario a requerimientos por vencer</t>
  </si>
  <si>
    <t>1. Realización de actividades pedagógicas- comunicativas para el fortalecimiento de la gestión ética ( envío de mensajes de enseñanza para una mejor convivencia laboral y personal,   por medio del grupo del wassap.Mensualmente en nuestra Cartelera, se colocan  temas alusivos a la Ética, Valores y Clic).  2. Asistencia de los funcionarios nuevos a la inducción sobre los deberes, derechos del servidor público  3. Informe mensuales de PQRSD y análisis de causas sobre el vencimiento de términos.</t>
  </si>
  <si>
    <t xml:space="preserve">1. 25%
2. 25%
3. 25%
</t>
  </si>
  <si>
    <t xml:space="preserve">1. Realizar la hoja de servicio en el archivo de historias laborales.
2. Consultar la información en las historias laborales digitalizadas.
3. Mantener actualizado el inventario del archivo de historias laborales.
4. Realizar permanentemente el control de préstamos de historias laborales
5. Generar el certificado de tiempos laborales a través de CETIL
6. Verificar que la información registrada en CETIL coincida con la información que reposa en la historia laboral. </t>
  </si>
  <si>
    <t>1. 25%
2. 25%
3. 25%
4. 25%
5, 25%</t>
  </si>
  <si>
    <t xml:space="preserve">1. Se verifica que los aspirantes cumplan con los requisitos minimos exigidos en el manual de funciones y competencias laborales, revisando los documentos aportados. 
2.Los manuales de funciones vigentes se encuentran disponibles en la página web de la entidad link:https://www.barranquilla.gov.co/transparencia/estructura-organica-y-talento-humano/funciones-
</t>
  </si>
  <si>
    <t>1. 25%
2. 25%</t>
  </si>
  <si>
    <t xml:space="preserve">1. 25%
2. 25%
</t>
  </si>
  <si>
    <t>1.Se controla de manera permanente el vencimiento de términos</t>
  </si>
  <si>
    <t xml:space="preserve">En proceso de implementación el plan de mejoramiento para el fortalecimiento de la gestión ética
La capacitación se brinda cuando se presenta el ingreso de nuevos funcionarios 
Informe de PQRS enviado por la oficina atencion al ciudadano </t>
  </si>
  <si>
    <t xml:space="preserve">Se realizó rotación de los grupos de IVC y de verificación.
Se implementaron los controles en tiempos de realización de informas de visita así como apertura de procesos jurídicos.
Se ha realizado entrevistas con los prestadores que han sido visitados para fines de retroalimentación
</t>
  </si>
  <si>
    <t>Se verifican los requisitos con manual de funciones y competencias laborales y se aplica las pruebas psicotecnicas wartegg, machover y valanti.
Se mantiene actualizada la planta de cargos en el aplicativo G+.
Se registran las situaciones administrativas de acuerdo a la normatividad vigente. En acto administrativo se identifican y ejecutan los retiros.</t>
  </si>
  <si>
    <t xml:space="preserve">1. 75%
2. 75%
</t>
  </si>
  <si>
    <t>1. 75%
2. 75%
3. 75%</t>
  </si>
  <si>
    <t>Se recibió retroalimentación de la empresa de mensajería en el proceso de notificación de los mandamientos de pago de derechos de tránsito y se procedió a publicar por aviso en la pagina web las notificaciones que fueron devueltas, para cumplir con el tramite establecido en el estatuto tributario, y así dar por terminado el proceso de notificación de las vigencias 2014 y 2015 evitando la prescripción. 
Igualmente se recibió la retroalimentación de los envíos realizados por mandamientos de pago de las obligaciones por sanciones de tránsito impuestas en la vigencia 2016, y se procedió a publicar por aviso las notificaciones que fueron devueltas, para cumplir con el tramite establecido en el estatuto tributario, dando por terminado el proceso de notificación de los mandamientos de la vigencia 2016, en cuanto a la vigencia 2017 se encuentra en procedo de notificación 31.168 mandamientos de pago, los cuales se encuentran en proceso de notificación estamos a la espera de el informe de la empresa de mensajería para proceder a publicar por aviso en la pagina web los que sean reportados como devueltos. 
Se continua enviando mensajes de texto a los deudores que realizaron acuerdo de pago recordandoles, el vencimiento de las cuotas.</t>
  </si>
  <si>
    <t>Durante este trimestre se reforzó la formación de nuestros colaboradores para aplicar conductas éticas durante su labor cotidiana, donde a través de una actividad lúdica y de una manera  simbólica simulando una jornada de vacunación anti-corrupción, se socializaron los valores éticos institucionales a 75 funcionarios de planta y contratistas asignados a la Oficina de Registro de Tránsito, lo que representó 100% de la planta de personal adscrita a esta dependencia. Así mismo, se continuó con la campaña promocional a través de correos corporativos para concientizar a los funcionarios asignados a las sedes de atención al ciudadano sobre su obligación de mantener buenas prácticas en la atención de trámites y atención al usuario. En concurrencia con este esfuerzo, se desarrollaron 2 sesiones de coaching grupal con la totalidad de funcionarios de la Oficina de Registro de Tránsito durante este trimestre, enfocadas al desarrollo del ser humano y la potencialización del ser en valores como pilar fundamental del servicio al ciudadano, en aras de prevenir actos de corrupción en el hacer de sus funciones y el cumplimiento de la promesa de valor de que nuestra entidad profesa a sus usuarios. Se continúa monitoreando mensualmente los tiempos de aprobación de trámites radicados en las diferentes sedes, estos resultados se evalúaron y analizaron trimestralmente obteniendo un tiempo promedio de aprobación de trámites de 8Hr 30mins gracias al trabajo articulado entre personas de Back-Office y de las sede, capacitaciones acerca de los requisitos y procedimientos pertinentes en la revisión y liquidación de los trámite, así como al seguimiento diario a las liquidaciones realizadas.</t>
  </si>
  <si>
    <t>1. 75%
2. 50%
3. 75%</t>
  </si>
  <si>
    <t>Entre enero de 2018 y septiembre de 2019 se revisaron 4.550 comparendos que solicitaron audiencia de los cuales 2.877 fueron gestionados encontrándose en estado Exonerado, Sancionado, En apelación, Pagados o en Acuerdo de pago, solo 1.673 comparendos se encontraban en estadao audiencia, a estos comparendos se realizaron los seguimientos pertinentes para evitar el vencimiento de términos del proceso sancionatorio, par aesto, se enviaron correos electrónicos con la relación de los comparendos en estado Audiencia a los 11 inspectores con el fin de informarles el vencimiento proximo de los mismos y requirirles celeridad de los procesos pendientes por fallos y próximos a vencer, este seguimiento se realiza quincenalmente informando los  comparendos en audiencia y enviando a los inspectores vía correo electrónico relación detallado de cada una de las audiencias a su cargo y estado de los mismos. Como medida para equilibrar las cargas en la asignación de audiencias se comntinúa actualizando el funcionamiento de la agenda de audiencias.</t>
  </si>
  <si>
    <t>El 17 de septiembre en el piso 6, se hizo la actividad de fomento: sigue las huellas, y día a día haz un recorrido simbólico hacia la integridad. Se tomaron fotografías del recorrido hasta donde se llegó al mensaje: “Cada paso que doy como servidor público tiene gran impacto en la vida de muchos ciudadanos.
Realizamos una capacitacion a funcionarios y contratistas en la herramienta Sigob el dia 13 de Agosto para el mejor uso y aprovechamiento de los terminos de respuestas. Asi mismo seguimos consolidando los estado de las solicitudes o PQRS pendientes con el enlace del sigob la oficina de gestion documental, el  seguimiento a funcionarios  que tienen asignacion de PQRSD y sus  respuesta  y los terminos.</t>
  </si>
  <si>
    <t>1. 75%
2. 75%</t>
  </si>
  <si>
    <t xml:space="preserve">Las actividades implementadas vienen mitigando la ocurrencia de los riesgos identificados del Proceso.
A la fecha, se han recibido 0.000 PQRS, siendo atendidos 0.000 lo que representa 00,00% del total. </t>
  </si>
  <si>
    <t>Informes enviados por Gestion Documental socializados y envío de comunicación por parte del secretario</t>
  </si>
  <si>
    <t xml:space="preserve">Se han venido realizando actividades propuestas </t>
  </si>
  <si>
    <t>De acuerdo al plan de acción de gestión etica se desarrollaran en el segundo semestre
Se viene cumpliendo con el desarrollo de las actividades propuestas en el plan de accion de gestión ética
Se realizaron los informes mensuales de los PQRS que entraron a la dependencia durante el trimestre. Su respctivo análisis y acciones de mejora para eliminar las causas relacionadas con los vencimientos de términos.</t>
  </si>
  <si>
    <t>Se realizó actividad en temas referentes al  codigo de integridad , se conto con la participación de los funcionarios de cada proceso de la SED, tema:"La vacuna ".
Se realizó Informe de atención al ciudadano, analizando estadístticas de usuarios atendidos, número de peticiones radicadas, tipos de requerimiento, medios de recepción, y PQRS vencidos.
Se realizaron auditorías de respuesta revisando la trasabilidad.
Se realiza seguimiento diario a requerimientos por vencer</t>
  </si>
  <si>
    <t>1. 75%
2. 75%
3. 100%
4. 75%</t>
  </si>
  <si>
    <t>1. En el proceso de implementación el plan de mejoramiento etico
2. Cuando se presente
3. Se estan realizando los seguimientos con los funcionarios
4. Cuando se presente</t>
  </si>
  <si>
    <t>1. 75%
2. 75%
3. 75%
4, 75%</t>
  </si>
  <si>
    <t>1. En el seguimiento no se encontraron nuevos trámites.
2. Cumplimos los compromisos estipulados en PAAC a corte Septiembre 30.
3. La primera publicidad que fue para esta vigencia la del mes de marzo, se socializó y publicó - Se realizó en Abril actividad junto con las PE de Participación Ciudadana, de Control Interno Disciplinario y Seguridad y Convivencia Ciudadana para reforzar los valores éticos estipulados en nuestro Codigo de Integridad con los servidores publicos basandonos en el Respeto y se organizó al personal de la dependencia para el mes de Septiembre  actividad lúdica de la Vacuna contra La corrupción.
4. A la fecha se ha respondido el 73,35  % de las PQRS recibidas durante la vigencia.</t>
  </si>
  <si>
    <t>1. 75%
2. 71%
3. 75%
4. 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</si>
</sst>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name val="Arial"/>
      <family val="2"/>
    </font>
    <font>
      <b/>
      <sz val="11.5"/>
      <color rgb="FF000000"/>
      <name val="Calibri"/>
      <family val="2"/>
    </font>
    <font>
      <b/>
      <sz val="14"/>
      <color rgb="FF000000"/>
      <name val="Calibri"/>
      <family val="2"/>
    </font>
    <font>
      <sz val="10"/>
      <color rgb="FF000000"/>
      <name val="Calibri"/>
      <family val="2"/>
    </font>
    <font>
      <sz val="11"/>
      <color theme="1"/>
      <name val="Calibri"/>
      <family val="2"/>
      <scheme val="minor"/>
    </font>
    <font>
      <sz val="11"/>
      <name val="Arial Narrow"/>
      <family val="2"/>
    </font>
    <font>
      <sz val="11"/>
      <name val="Arial"/>
      <family val="2"/>
    </font>
    <font>
      <sz val="14"/>
      <name val="Arial Narrow"/>
      <family val="2"/>
    </font>
    <font>
      <sz val="14"/>
      <color theme="1"/>
      <name val="Arial Narrow"/>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28" fillId="0" borderId="0" applyFont="0" applyFill="0" applyBorder="0" applyAlignment="0" applyProtection="0"/>
    <xf numFmtId="0" fontId="28" fillId="0" borderId="0"/>
    <xf numFmtId="9" fontId="28" fillId="0" borderId="0" applyFont="0" applyFill="0" applyBorder="0" applyAlignment="0" applyProtection="0"/>
  </cellStyleXfs>
  <cellXfs count="163">
    <xf numFmtId="0" fontId="0" fillId="0" borderId="0" xfId="0"/>
    <xf numFmtId="0" fontId="0" fillId="0" borderId="0" xfId="0" applyProtection="1"/>
    <xf numFmtId="0" fontId="1" fillId="0" borderId="0" xfId="0" applyFont="1" applyAlignment="1" applyProtection="1">
      <alignment horizontal="center" vertical="center" wrapText="1"/>
    </xf>
    <xf numFmtId="0" fontId="4" fillId="0" borderId="0" xfId="0" applyFont="1" applyProtection="1"/>
    <xf numFmtId="0" fontId="4" fillId="0" borderId="0" xfId="0" applyFont="1" applyAlignment="1" applyProtection="1">
      <alignment horizont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4" borderId="0" xfId="0" applyFont="1" applyFill="1" applyAlignment="1" applyProtection="1">
      <alignment horizontal="center" vertical="center"/>
    </xf>
    <xf numFmtId="164" fontId="5"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6" fillId="0" borderId="0" xfId="0" applyFont="1" applyProtection="1"/>
    <xf numFmtId="0" fontId="6" fillId="0" borderId="0" xfId="0" applyFont="1" applyAlignment="1" applyProtection="1">
      <alignment wrapText="1"/>
    </xf>
    <xf numFmtId="0" fontId="4" fillId="0" borderId="0" xfId="0" applyFont="1" applyAlignment="1" applyProtection="1">
      <alignment wrapText="1"/>
    </xf>
    <xf numFmtId="0" fontId="2" fillId="0" borderId="0" xfId="0" applyFont="1" applyAlignment="1" applyProtection="1">
      <alignment horizontal="left" vertical="center"/>
    </xf>
    <xf numFmtId="0" fontId="8" fillId="0" borderId="0" xfId="0" applyFont="1" applyAlignment="1" applyProtection="1">
      <alignment vertical="center"/>
    </xf>
    <xf numFmtId="0" fontId="1" fillId="4" borderId="0" xfId="0"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left"/>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3" fillId="0" borderId="2" xfId="0" applyFont="1" applyBorder="1" applyAlignment="1" applyProtection="1">
      <alignment horizontal="left" vertical="center"/>
      <protection locked="0"/>
    </xf>
    <xf numFmtId="164" fontId="14" fillId="0" borderId="2"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 xfId="0" applyFont="1" applyBorder="1" applyAlignment="1" applyProtection="1">
      <alignment horizontal="center" vertical="center"/>
      <protection locked="0"/>
    </xf>
    <xf numFmtId="164" fontId="14" fillId="0" borderId="4" xfId="0" applyNumberFormat="1" applyFont="1" applyBorder="1" applyAlignment="1" applyProtection="1">
      <alignment horizontal="center" vertical="center"/>
    </xf>
    <xf numFmtId="0" fontId="13"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1"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19" fillId="5" borderId="0" xfId="0" applyFont="1" applyFill="1" applyAlignment="1">
      <alignment vertical="top" wrapText="1"/>
    </xf>
    <xf numFmtId="0" fontId="17"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protection locked="0"/>
    </xf>
    <xf numFmtId="0" fontId="18" fillId="0" borderId="0" xfId="0" applyFont="1" applyProtection="1"/>
    <xf numFmtId="0" fontId="17" fillId="2" borderId="1" xfId="0" applyFont="1" applyFill="1" applyBorder="1" applyAlignment="1" applyProtection="1">
      <alignment horizontal="center" vertical="center"/>
    </xf>
    <xf numFmtId="0" fontId="23" fillId="0" borderId="0" xfId="0" applyFont="1" applyProtection="1"/>
    <xf numFmtId="0" fontId="18" fillId="0" borderId="1" xfId="0" applyFont="1" applyBorder="1" applyAlignment="1" applyProtection="1">
      <alignment horizontal="left" vertical="center"/>
    </xf>
    <xf numFmtId="0" fontId="18" fillId="0" borderId="1" xfId="0" applyFont="1" applyBorder="1" applyAlignment="1" applyProtection="1">
      <alignment horizontal="center" vertical="center"/>
    </xf>
    <xf numFmtId="0" fontId="18" fillId="0" borderId="1" xfId="0" applyFont="1" applyBorder="1" applyProtection="1"/>
    <xf numFmtId="0" fontId="18" fillId="3" borderId="1" xfId="0" applyFont="1" applyFill="1" applyBorder="1" applyProtection="1"/>
    <xf numFmtId="0" fontId="18" fillId="0" borderId="7" xfId="0" applyFont="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164" fontId="17" fillId="0" borderId="9" xfId="0" applyNumberFormat="1" applyFont="1" applyFill="1" applyBorder="1" applyAlignment="1" applyProtection="1">
      <alignment horizontal="center" vertical="center"/>
    </xf>
    <xf numFmtId="164" fontId="17" fillId="0" borderId="7" xfId="0" applyNumberFormat="1" applyFont="1" applyFill="1" applyBorder="1" applyAlignment="1" applyProtection="1">
      <alignment horizontal="center" vertical="center"/>
    </xf>
    <xf numFmtId="164" fontId="17" fillId="15" borderId="7" xfId="0" applyNumberFormat="1" applyFont="1" applyFill="1" applyBorder="1" applyAlignment="1" applyProtection="1">
      <alignment horizontal="center" vertical="center"/>
    </xf>
    <xf numFmtId="164" fontId="18" fillId="0" borderId="7"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22" fillId="8" borderId="11"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17" fillId="0" borderId="13"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3" borderId="17"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17" xfId="0" applyFont="1" applyBorder="1" applyAlignment="1" applyProtection="1">
      <alignment horizontal="center" vertical="center" wrapText="1"/>
      <protection locked="0"/>
    </xf>
    <xf numFmtId="164" fontId="17" fillId="0" borderId="17" xfId="0" applyNumberFormat="1" applyFont="1" applyFill="1" applyBorder="1" applyAlignment="1" applyProtection="1">
      <alignment horizontal="center" vertical="center"/>
    </xf>
    <xf numFmtId="0" fontId="22" fillId="4" borderId="15"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top" wrapText="1"/>
    </xf>
    <xf numFmtId="0" fontId="18" fillId="0" borderId="0" xfId="0" applyFont="1" applyBorder="1" applyProtection="1"/>
    <xf numFmtId="0" fontId="18" fillId="3" borderId="0" xfId="0" applyFont="1" applyFill="1" applyBorder="1" applyProtection="1"/>
    <xf numFmtId="0" fontId="0" fillId="3" borderId="0" xfId="0" applyFill="1" applyBorder="1" applyProtection="1"/>
    <xf numFmtId="0" fontId="17" fillId="3" borderId="18" xfId="0" applyFont="1" applyFill="1" applyBorder="1" applyAlignment="1" applyProtection="1">
      <alignment horizontal="left" vertical="center" wrapText="1"/>
      <protection locked="0"/>
    </xf>
    <xf numFmtId="0" fontId="18" fillId="0" borderId="18" xfId="0" applyFont="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xf>
    <xf numFmtId="0" fontId="24" fillId="0" borderId="11"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1" fontId="17" fillId="15" borderId="23" xfId="0" applyNumberFormat="1" applyFont="1" applyFill="1" applyBorder="1" applyAlignment="1" applyProtection="1">
      <alignment horizontal="center" vertical="center"/>
    </xf>
    <xf numFmtId="1" fontId="17" fillId="15" borderId="24" xfId="0" applyNumberFormat="1" applyFont="1" applyFill="1" applyBorder="1" applyAlignment="1" applyProtection="1">
      <alignment horizontal="center" vertical="center"/>
    </xf>
    <xf numFmtId="1" fontId="17" fillId="15" borderId="25" xfId="0" applyNumberFormat="1" applyFont="1" applyFill="1" applyBorder="1" applyAlignment="1" applyProtection="1">
      <alignment horizontal="center" vertical="center"/>
    </xf>
    <xf numFmtId="0" fontId="4" fillId="0" borderId="7" xfId="0" applyFont="1" applyBorder="1" applyAlignment="1" applyProtection="1">
      <alignment horizontal="center" wrapText="1"/>
    </xf>
    <xf numFmtId="0" fontId="18" fillId="0" borderId="7" xfId="0" applyFont="1" applyBorder="1" applyProtection="1"/>
    <xf numFmtId="0" fontId="4" fillId="0" borderId="7" xfId="0" applyFont="1" applyBorder="1" applyProtection="1"/>
    <xf numFmtId="0" fontId="17" fillId="16" borderId="7" xfId="0" applyFont="1" applyFill="1" applyBorder="1" applyAlignment="1">
      <alignment horizontal="justify" vertical="center"/>
    </xf>
    <xf numFmtId="0" fontId="17" fillId="16" borderId="7" xfId="0" applyFont="1" applyFill="1" applyBorder="1" applyAlignment="1">
      <alignment horizontal="center" vertical="center"/>
    </xf>
    <xf numFmtId="0" fontId="0" fillId="0" borderId="0" xfId="0" applyAlignment="1">
      <alignment horizontal="center"/>
    </xf>
    <xf numFmtId="0" fontId="0" fillId="0" borderId="7" xfId="0" applyBorder="1" applyAlignment="1">
      <alignment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1" fillId="0" borderId="0" xfId="0" applyFont="1" applyAlignment="1" applyProtection="1">
      <alignment vertical="center"/>
      <protection locked="0"/>
    </xf>
    <xf numFmtId="0" fontId="21" fillId="17" borderId="27" xfId="0" applyFont="1" applyFill="1" applyBorder="1" applyAlignment="1" applyProtection="1">
      <alignment vertical="center"/>
      <protection locked="0"/>
    </xf>
    <xf numFmtId="0" fontId="21" fillId="17" borderId="28" xfId="0" applyFont="1" applyFill="1" applyBorder="1" applyAlignment="1" applyProtection="1">
      <alignment vertical="center"/>
      <protection locked="0"/>
    </xf>
    <xf numFmtId="0" fontId="24" fillId="0" borderId="17" xfId="0" applyFont="1" applyFill="1" applyBorder="1" applyAlignment="1" applyProtection="1">
      <alignment horizontal="left" vertical="center" wrapText="1"/>
      <protection locked="0"/>
    </xf>
    <xf numFmtId="0" fontId="17"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7" xfId="0" applyFont="1" applyBorder="1" applyAlignment="1" applyProtection="1">
      <alignment horizontal="center"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32" xfId="0" applyFont="1" applyBorder="1" applyAlignment="1">
      <alignment vertical="center" wrapText="1"/>
    </xf>
    <xf numFmtId="0" fontId="27" fillId="0" borderId="35" xfId="0" applyFont="1" applyBorder="1" applyAlignment="1">
      <alignment vertical="center" wrapText="1"/>
    </xf>
    <xf numFmtId="9" fontId="18" fillId="0" borderId="7" xfId="0" applyNumberFormat="1" applyFont="1" applyBorder="1" applyProtection="1"/>
    <xf numFmtId="0" fontId="18" fillId="0" borderId="7" xfId="0" applyFont="1" applyBorder="1" applyAlignment="1" applyProtection="1">
      <alignment wrapText="1"/>
    </xf>
    <xf numFmtId="0" fontId="18" fillId="0" borderId="7" xfId="0" applyFont="1" applyBorder="1" applyAlignment="1" applyProtection="1">
      <alignment vertical="center" wrapText="1"/>
    </xf>
    <xf numFmtId="9" fontId="3" fillId="0" borderId="7" xfId="11" applyFont="1" applyBorder="1" applyAlignment="1" applyProtection="1">
      <alignment horizontal="center" vertical="center" wrapText="1"/>
    </xf>
    <xf numFmtId="9" fontId="18" fillId="0" borderId="7" xfId="11" applyFont="1" applyBorder="1" applyAlignment="1" applyProtection="1">
      <alignment horizontal="center" vertical="center"/>
    </xf>
    <xf numFmtId="9" fontId="3" fillId="0" borderId="7" xfId="0" applyNumberFormat="1" applyFont="1" applyBorder="1" applyAlignment="1" applyProtection="1">
      <alignment horizontal="center" vertical="center"/>
    </xf>
    <xf numFmtId="49" fontId="18" fillId="0" borderId="7" xfId="0" applyNumberFormat="1" applyFont="1" applyBorder="1" applyAlignment="1" applyProtection="1">
      <alignment vertical="top" wrapText="1"/>
    </xf>
    <xf numFmtId="0" fontId="18" fillId="0" borderId="7" xfId="0" applyFont="1" applyBorder="1" applyAlignment="1" applyProtection="1">
      <alignment horizontal="center" vertical="center"/>
    </xf>
    <xf numFmtId="0" fontId="18" fillId="0" borderId="7" xfId="0" applyFont="1" applyBorder="1" applyAlignment="1">
      <alignment vertical="center" wrapText="1"/>
    </xf>
    <xf numFmtId="9" fontId="18" fillId="0" borderId="7" xfId="0" applyNumberFormat="1" applyFont="1" applyBorder="1" applyAlignment="1" applyProtection="1">
      <alignment wrapText="1"/>
    </xf>
    <xf numFmtId="0" fontId="18" fillId="0" borderId="7" xfId="0" applyFont="1" applyBorder="1" applyAlignment="1" applyProtection="1">
      <alignment horizontal="justify" vertical="center" wrapText="1"/>
      <protection locked="0"/>
    </xf>
    <xf numFmtId="9" fontId="18" fillId="0" borderId="7" xfId="0" applyNumberFormat="1" applyFont="1" applyBorder="1" applyAlignment="1" applyProtection="1">
      <alignment horizontal="center" vertical="center"/>
    </xf>
    <xf numFmtId="0" fontId="18" fillId="0" borderId="7" xfId="0" applyFont="1" applyBorder="1" applyAlignment="1" applyProtection="1">
      <alignment vertical="top" wrapText="1"/>
    </xf>
    <xf numFmtId="0" fontId="29" fillId="0" borderId="7" xfId="0" applyFont="1" applyBorder="1" applyAlignment="1" applyProtection="1">
      <alignment horizontal="justify" vertical="top" wrapText="1"/>
      <protection locked="0"/>
    </xf>
    <xf numFmtId="9" fontId="18" fillId="0" borderId="7" xfId="11" applyFont="1" applyBorder="1" applyAlignment="1" applyProtection="1">
      <alignment wrapText="1"/>
    </xf>
    <xf numFmtId="0" fontId="31" fillId="0" borderId="7" xfId="0" applyFont="1" applyBorder="1" applyAlignment="1" applyProtection="1">
      <alignment horizontal="justify" vertical="center" wrapText="1"/>
      <protection locked="0"/>
    </xf>
    <xf numFmtId="0" fontId="30" fillId="0" borderId="7" xfId="0" applyFont="1" applyBorder="1" applyAlignment="1">
      <alignment horizontal="left" wrapText="1"/>
    </xf>
    <xf numFmtId="9" fontId="31" fillId="3" borderId="7" xfId="13" applyFont="1" applyFill="1" applyBorder="1" applyAlignment="1" applyProtection="1">
      <alignment horizontal="center" vertical="center" wrapText="1"/>
      <protection locked="0"/>
    </xf>
    <xf numFmtId="9" fontId="31" fillId="3" borderId="7" xfId="13" applyFont="1" applyFill="1" applyBorder="1" applyAlignment="1">
      <alignment horizontal="center" vertical="center"/>
    </xf>
    <xf numFmtId="10" fontId="32" fillId="3" borderId="7" xfId="13" applyNumberFormat="1" applyFont="1" applyFill="1" applyBorder="1" applyAlignment="1" applyProtection="1">
      <alignment horizontal="center" vertical="center" wrapText="1"/>
      <protection locked="0"/>
    </xf>
    <xf numFmtId="0" fontId="17" fillId="16" borderId="7" xfId="0" applyFont="1" applyFill="1" applyBorder="1" applyAlignment="1">
      <alignment horizontal="center" vertical="center"/>
    </xf>
    <xf numFmtId="0" fontId="17" fillId="3" borderId="8" xfId="0" applyFont="1" applyFill="1" applyBorder="1" applyAlignment="1" applyProtection="1">
      <alignment horizontal="center" vertical="center"/>
    </xf>
    <xf numFmtId="0" fontId="18" fillId="0" borderId="10" xfId="0" applyFont="1" applyBorder="1" applyAlignment="1"/>
    <xf numFmtId="0" fontId="22" fillId="8" borderId="11"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wrapText="1"/>
    </xf>
    <xf numFmtId="0" fontId="22" fillId="8" borderId="21" xfId="0" applyFont="1" applyFill="1" applyBorder="1" applyAlignment="1" applyProtection="1">
      <alignment horizontal="center" vertical="center" wrapText="1"/>
    </xf>
    <xf numFmtId="0" fontId="22" fillId="8" borderId="22" xfId="0" applyFont="1" applyFill="1" applyBorder="1" applyAlignment="1" applyProtection="1">
      <alignment horizontal="center" vertical="center" wrapText="1"/>
    </xf>
    <xf numFmtId="0" fontId="17" fillId="8" borderId="12"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8" borderId="11"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xf>
    <xf numFmtId="0" fontId="27" fillId="0" borderId="31"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cellXfs>
  <cellStyles count="1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Normal 2" xfId="12" xr:uid="{1688FD2D-8BB0-4590-BFAE-93A192E0A75C}"/>
    <cellStyle name="Porcentaje" xfId="11" builtinId="5"/>
    <cellStyle name="Porcentaje 2" xfId="13" xr:uid="{F01A525A-6802-4577-8BFF-E601FF77419A}"/>
  </cellStyles>
  <dxfs count="4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16</xdr:col>
      <xdr:colOff>1061906</xdr:colOff>
      <xdr:row>37</xdr:row>
      <xdr:rowOff>41274</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9</xdr:col>
      <xdr:colOff>3483610</xdr:colOff>
      <xdr:row>30</xdr:row>
      <xdr:rowOff>144781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9</xdr:col>
      <xdr:colOff>567966</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ORRALES\AppData\Local\Microsoft\Windows\Temporary%20Internet%20Files\Content.Outlook\4H0VZGUR\SDTSV%20-%20RiesgosyOportunidades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DIAZM\Downloads\Matriz%20de%20Corrupci&#243;n%20SED%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sheetName val="Cuestiones"/>
      <sheetName val="Riesgos"/>
      <sheetName val="Calificacion Controles"/>
      <sheetName val="CriteriosControles"/>
      <sheetName val="Oportunidades"/>
      <sheetName val="Lista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sheetName val="Cuestiones"/>
      <sheetName val="Riesgos"/>
      <sheetName val="Calificacion Controles"/>
      <sheetName val="CriteriosControles"/>
      <sheetName val="Oportunidades"/>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view="pageBreakPreview" topLeftCell="G3" zoomScale="83" zoomScaleNormal="83" zoomScaleSheetLayoutView="83" workbookViewId="0">
      <pane ySplit="1" topLeftCell="A16" activePane="bottomLeft" state="frozen"/>
      <selection activeCell="M3" sqref="M3"/>
      <selection pane="bottomLeft" activeCell="U8" sqref="U8"/>
    </sheetView>
  </sheetViews>
  <sheetFormatPr baseColWidth="10" defaultColWidth="9.140625" defaultRowHeight="14.25" x14ac:dyDescent="0.2"/>
  <cols>
    <col min="1" max="1" width="4.85546875" style="5" customWidth="1"/>
    <col min="2" max="2" width="20.42578125" style="5" customWidth="1"/>
    <col min="3" max="3" width="33.5703125" style="6" customWidth="1"/>
    <col min="4" max="4" width="21.140625" style="62" hidden="1" customWidth="1"/>
    <col min="5" max="5" width="22.140625" style="6" customWidth="1"/>
    <col min="6" max="6" width="11.5703125" style="6" customWidth="1"/>
    <col min="7" max="7" width="14.7109375" style="6" customWidth="1"/>
    <col min="8" max="8" width="15" style="6" customWidth="1"/>
    <col min="9" max="9" width="10.140625" style="6" customWidth="1"/>
    <col min="10" max="10" width="61.28515625" style="14" customWidth="1"/>
    <col min="11" max="11" width="17.28515625" style="3" bestFit="1" customWidth="1"/>
    <col min="12" max="12" width="27.85546875" style="3" customWidth="1"/>
    <col min="13" max="13" width="20.5703125" style="3" customWidth="1"/>
    <col min="14" max="14" width="27" style="3" hidden="1" customWidth="1"/>
    <col min="15" max="15" width="22.7109375" style="3" hidden="1" customWidth="1"/>
    <col min="16" max="16" width="12" style="3" customWidth="1"/>
    <col min="17" max="17" width="22.28515625" style="3" customWidth="1"/>
    <col min="18" max="18" width="16" style="3" hidden="1" customWidth="1"/>
    <col min="19" max="19" width="21" style="3" hidden="1" customWidth="1"/>
    <col min="20" max="16384" width="9.140625" style="3"/>
  </cols>
  <sheetData>
    <row r="1" spans="1:19" ht="15" hidden="1" thickBot="1" x14ac:dyDescent="0.25"/>
    <row r="2" spans="1:19" s="4" customFormat="1" ht="15" hidden="1" thickBot="1" x14ac:dyDescent="0.25">
      <c r="A2" s="137" t="s">
        <v>90</v>
      </c>
      <c r="B2" s="138"/>
      <c r="C2" s="138"/>
      <c r="D2" s="138"/>
      <c r="E2" s="138"/>
      <c r="F2" s="138"/>
      <c r="G2" s="138"/>
      <c r="H2" s="138"/>
      <c r="I2" s="138"/>
      <c r="J2" s="138"/>
      <c r="K2" s="138"/>
      <c r="L2" s="87"/>
      <c r="M2" s="87"/>
      <c r="N2" s="87"/>
      <c r="O2" s="87"/>
      <c r="P2" s="87"/>
      <c r="Q2" s="87"/>
      <c r="R2" s="87"/>
      <c r="S2" s="87"/>
    </row>
    <row r="3" spans="1:19" ht="51" customHeight="1" x14ac:dyDescent="0.2">
      <c r="A3" s="143" t="s">
        <v>87</v>
      </c>
      <c r="B3" s="145" t="s">
        <v>124</v>
      </c>
      <c r="C3" s="145" t="s">
        <v>19</v>
      </c>
      <c r="D3" s="139" t="s">
        <v>114</v>
      </c>
      <c r="E3" s="139"/>
      <c r="F3" s="139" t="s">
        <v>59</v>
      </c>
      <c r="G3" s="64" t="s">
        <v>116</v>
      </c>
      <c r="H3" s="139" t="s">
        <v>60</v>
      </c>
      <c r="I3" s="139" t="s">
        <v>89</v>
      </c>
      <c r="J3" s="65" t="s">
        <v>61</v>
      </c>
      <c r="K3" s="141" t="s">
        <v>97</v>
      </c>
      <c r="L3" s="136" t="s">
        <v>125</v>
      </c>
      <c r="M3" s="136"/>
      <c r="N3" s="136" t="s">
        <v>126</v>
      </c>
      <c r="O3" s="136"/>
      <c r="P3" s="136" t="s">
        <v>126</v>
      </c>
      <c r="Q3" s="136"/>
      <c r="R3" s="136" t="s">
        <v>127</v>
      </c>
      <c r="S3" s="136"/>
    </row>
    <row r="4" spans="1:19" ht="58.5" customHeight="1" thickBot="1" x14ac:dyDescent="0.25">
      <c r="A4" s="144"/>
      <c r="B4" s="146"/>
      <c r="C4" s="146"/>
      <c r="D4" s="72" t="s">
        <v>115</v>
      </c>
      <c r="E4" s="72" t="s">
        <v>113</v>
      </c>
      <c r="F4" s="140"/>
      <c r="G4" s="72" t="s">
        <v>117</v>
      </c>
      <c r="H4" s="140"/>
      <c r="I4" s="140"/>
      <c r="J4" s="73" t="str">
        <f>Listas!V18</f>
        <v>(Requerido para los factores de riesgo &gt;=8, 
sugerido para factores de riesgo entre 5 y 8)</v>
      </c>
      <c r="K4" s="142"/>
      <c r="L4" s="91" t="s">
        <v>128</v>
      </c>
      <c r="M4" s="90" t="s">
        <v>129</v>
      </c>
      <c r="N4" s="90" t="s">
        <v>128</v>
      </c>
      <c r="O4" s="90" t="s">
        <v>129</v>
      </c>
      <c r="P4" s="90" t="s">
        <v>128</v>
      </c>
      <c r="Q4" s="90" t="s">
        <v>129</v>
      </c>
      <c r="R4" s="90" t="s">
        <v>128</v>
      </c>
      <c r="S4" s="90" t="s">
        <v>129</v>
      </c>
    </row>
    <row r="5" spans="1:19" ht="48" customHeight="1" x14ac:dyDescent="0.2">
      <c r="A5" s="67">
        <v>1</v>
      </c>
      <c r="B5" s="68" t="s">
        <v>182</v>
      </c>
      <c r="C5" s="69" t="s">
        <v>186</v>
      </c>
      <c r="D5" s="70"/>
      <c r="E5" s="55" t="s">
        <v>103</v>
      </c>
      <c r="F5" s="71">
        <v>1</v>
      </c>
      <c r="G5" s="55" t="s">
        <v>111</v>
      </c>
      <c r="H5" s="71">
        <v>4</v>
      </c>
      <c r="I5" s="60">
        <v>4</v>
      </c>
      <c r="J5" s="69" t="s">
        <v>209</v>
      </c>
      <c r="K5" s="84">
        <f>'Calificacion Controles'!AD4</f>
        <v>0</v>
      </c>
      <c r="L5" s="128" t="s">
        <v>256</v>
      </c>
      <c r="M5" s="117" t="s">
        <v>257</v>
      </c>
      <c r="P5" s="129" t="s">
        <v>262</v>
      </c>
      <c r="Q5" s="117" t="s">
        <v>264</v>
      </c>
      <c r="R5" s="89"/>
      <c r="S5" s="89"/>
    </row>
    <row r="6" spans="1:19" ht="69" customHeight="1" x14ac:dyDescent="0.2">
      <c r="A6" s="66">
        <f>A5+1</f>
        <v>2</v>
      </c>
      <c r="B6" s="56" t="s">
        <v>175</v>
      </c>
      <c r="C6" s="69" t="s">
        <v>187</v>
      </c>
      <c r="D6" s="55" t="s">
        <v>100</v>
      </c>
      <c r="E6" s="55" t="s">
        <v>105</v>
      </c>
      <c r="F6" s="71">
        <v>3</v>
      </c>
      <c r="G6" s="55" t="s">
        <v>111</v>
      </c>
      <c r="H6" s="59">
        <v>4</v>
      </c>
      <c r="I6" s="60">
        <f t="shared" ref="I6:I12" si="0">+H6*F6</f>
        <v>12</v>
      </c>
      <c r="J6" s="53" t="s">
        <v>200</v>
      </c>
      <c r="K6" s="84">
        <f>'Calificacion Controles'!AD5</f>
        <v>4</v>
      </c>
      <c r="L6" s="118" t="s">
        <v>243</v>
      </c>
      <c r="M6" s="119">
        <v>0.25</v>
      </c>
      <c r="P6" s="129" t="s">
        <v>265</v>
      </c>
      <c r="Q6" s="117" t="s">
        <v>264</v>
      </c>
      <c r="R6" s="89"/>
      <c r="S6" s="89"/>
    </row>
    <row r="7" spans="1:19" ht="48" customHeight="1" x14ac:dyDescent="0.2">
      <c r="A7" s="66">
        <f>A6+1</f>
        <v>3</v>
      </c>
      <c r="B7" s="77" t="s">
        <v>175</v>
      </c>
      <c r="C7" s="69" t="s">
        <v>189</v>
      </c>
      <c r="D7" s="55" t="s">
        <v>100</v>
      </c>
      <c r="E7" s="55" t="s">
        <v>105</v>
      </c>
      <c r="F7" s="71">
        <v>3</v>
      </c>
      <c r="G7" s="55" t="s">
        <v>111</v>
      </c>
      <c r="H7" s="59">
        <v>4</v>
      </c>
      <c r="I7" s="60">
        <f t="shared" si="0"/>
        <v>12</v>
      </c>
      <c r="J7" s="53" t="s">
        <v>201</v>
      </c>
      <c r="K7" s="84">
        <f>'Calificacion Controles'!AD6</f>
        <v>2.3999999999999995</v>
      </c>
      <c r="L7" s="118" t="s">
        <v>245</v>
      </c>
      <c r="M7" s="121">
        <v>0.25</v>
      </c>
      <c r="P7" s="129" t="s">
        <v>266</v>
      </c>
      <c r="Q7" s="117" t="s">
        <v>267</v>
      </c>
      <c r="R7" s="89"/>
      <c r="S7" s="89"/>
    </row>
    <row r="8" spans="1:19" ht="57" customHeight="1" x14ac:dyDescent="0.2">
      <c r="A8" s="66">
        <f t="shared" ref="A8:A21" si="1">A7+1</f>
        <v>4</v>
      </c>
      <c r="B8" s="56" t="s">
        <v>184</v>
      </c>
      <c r="C8" s="69" t="s">
        <v>190</v>
      </c>
      <c r="D8" s="55" t="s">
        <v>99</v>
      </c>
      <c r="E8" s="55" t="s">
        <v>191</v>
      </c>
      <c r="F8" s="71">
        <v>2</v>
      </c>
      <c r="G8" s="55" t="s">
        <v>111</v>
      </c>
      <c r="H8" s="59">
        <v>4</v>
      </c>
      <c r="I8" s="60">
        <f t="shared" si="0"/>
        <v>8</v>
      </c>
      <c r="J8" s="53" t="s">
        <v>197</v>
      </c>
      <c r="K8" s="84">
        <f>'Calificacion Controles'!AD7</f>
        <v>2.4000000000000004</v>
      </c>
      <c r="L8" s="118" t="s">
        <v>242</v>
      </c>
      <c r="M8" s="116">
        <v>0.8</v>
      </c>
      <c r="P8" s="129"/>
      <c r="Q8" s="117"/>
      <c r="R8" s="89"/>
      <c r="S8" s="89"/>
    </row>
    <row r="9" spans="1:19" ht="108" customHeight="1" x14ac:dyDescent="0.2">
      <c r="A9" s="66">
        <v>5</v>
      </c>
      <c r="B9" s="56" t="s">
        <v>182</v>
      </c>
      <c r="C9" s="69" t="s">
        <v>195</v>
      </c>
      <c r="D9" s="55" t="s">
        <v>99</v>
      </c>
      <c r="E9" s="55" t="s">
        <v>191</v>
      </c>
      <c r="F9" s="71">
        <v>2</v>
      </c>
      <c r="G9" s="55" t="s">
        <v>111</v>
      </c>
      <c r="H9" s="59">
        <v>4</v>
      </c>
      <c r="I9" s="60">
        <f t="shared" si="0"/>
        <v>8</v>
      </c>
      <c r="J9" s="53" t="s">
        <v>205</v>
      </c>
      <c r="K9" s="84">
        <f>'Calificacion Controles'!AD8</f>
        <v>2.5599999999999996</v>
      </c>
      <c r="L9" s="117" t="s">
        <v>254</v>
      </c>
      <c r="M9" s="125" t="s">
        <v>255</v>
      </c>
      <c r="P9" s="129" t="s">
        <v>262</v>
      </c>
      <c r="Q9" s="117" t="s">
        <v>264</v>
      </c>
      <c r="R9" s="89"/>
      <c r="S9" s="89"/>
    </row>
    <row r="10" spans="1:19" ht="69.75" customHeight="1" x14ac:dyDescent="0.2">
      <c r="A10" s="66">
        <f t="shared" si="1"/>
        <v>6</v>
      </c>
      <c r="B10" s="57" t="s">
        <v>181</v>
      </c>
      <c r="C10" s="69" t="s">
        <v>188</v>
      </c>
      <c r="D10" s="55" t="s">
        <v>100</v>
      </c>
      <c r="E10" s="55" t="s">
        <v>105</v>
      </c>
      <c r="F10" s="71">
        <v>2</v>
      </c>
      <c r="G10" s="55" t="s">
        <v>111</v>
      </c>
      <c r="H10" s="59">
        <v>4</v>
      </c>
      <c r="I10" s="60">
        <v>12</v>
      </c>
      <c r="J10" s="53" t="s">
        <v>199</v>
      </c>
      <c r="K10" s="84">
        <f>'Calificacion Controles'!AD9</f>
        <v>0</v>
      </c>
      <c r="L10" s="117" t="s">
        <v>250</v>
      </c>
      <c r="M10" s="125" t="s">
        <v>258</v>
      </c>
      <c r="P10" s="129"/>
      <c r="Q10" s="117"/>
      <c r="R10" s="89"/>
      <c r="S10" s="89"/>
    </row>
    <row r="11" spans="1:19" ht="50.25" customHeight="1" x14ac:dyDescent="0.2">
      <c r="A11" s="66">
        <f t="shared" si="1"/>
        <v>7</v>
      </c>
      <c r="B11" s="56" t="s">
        <v>185</v>
      </c>
      <c r="C11" s="69" t="s">
        <v>188</v>
      </c>
      <c r="D11" s="55" t="s">
        <v>98</v>
      </c>
      <c r="E11" s="55" t="s">
        <v>103</v>
      </c>
      <c r="F11" s="71">
        <v>1</v>
      </c>
      <c r="G11" s="55" t="s">
        <v>111</v>
      </c>
      <c r="H11" s="59">
        <v>4</v>
      </c>
      <c r="I11" s="60">
        <f t="shared" si="0"/>
        <v>4</v>
      </c>
      <c r="J11" s="53" t="s">
        <v>196</v>
      </c>
      <c r="K11" s="84">
        <f>'Calificacion Controles'!AD10</f>
        <v>0.79999999999999982</v>
      </c>
      <c r="L11" s="117" t="s">
        <v>259</v>
      </c>
      <c r="M11" s="116">
        <v>0.25</v>
      </c>
      <c r="P11" s="129" t="s">
        <v>273</v>
      </c>
      <c r="Q11" s="117" t="s">
        <v>263</v>
      </c>
      <c r="R11" s="89"/>
      <c r="S11" s="89"/>
    </row>
    <row r="12" spans="1:19" ht="82.5" customHeight="1" x14ac:dyDescent="0.2">
      <c r="A12" s="66">
        <f t="shared" si="1"/>
        <v>8</v>
      </c>
      <c r="B12" s="56" t="s">
        <v>167</v>
      </c>
      <c r="C12" s="69" t="s">
        <v>189</v>
      </c>
      <c r="D12" s="55" t="s">
        <v>100</v>
      </c>
      <c r="E12" s="55" t="s">
        <v>105</v>
      </c>
      <c r="F12" s="71">
        <v>3</v>
      </c>
      <c r="G12" s="55" t="s">
        <v>111</v>
      </c>
      <c r="H12" s="59">
        <v>4</v>
      </c>
      <c r="I12" s="60">
        <f t="shared" si="0"/>
        <v>12</v>
      </c>
      <c r="J12" s="53" t="s">
        <v>202</v>
      </c>
      <c r="K12" s="84">
        <f>'Calificacion Controles'!AD11</f>
        <v>1.8000000000000003</v>
      </c>
      <c r="L12" s="117" t="s">
        <v>261</v>
      </c>
      <c r="M12" s="116">
        <v>0.25</v>
      </c>
      <c r="P12" s="129" t="s">
        <v>273</v>
      </c>
      <c r="Q12" s="117" t="s">
        <v>264</v>
      </c>
      <c r="R12" s="89"/>
      <c r="S12" s="89"/>
    </row>
    <row r="13" spans="1:19" ht="33.75" customHeight="1" x14ac:dyDescent="0.2">
      <c r="A13" s="66">
        <f t="shared" si="1"/>
        <v>9</v>
      </c>
      <c r="B13" s="56" t="s">
        <v>163</v>
      </c>
      <c r="C13" s="69" t="s">
        <v>189</v>
      </c>
      <c r="D13" s="55" t="s">
        <v>99</v>
      </c>
      <c r="E13" s="55" t="s">
        <v>104</v>
      </c>
      <c r="F13" s="71">
        <v>2</v>
      </c>
      <c r="G13" s="55" t="s">
        <v>109</v>
      </c>
      <c r="H13" s="59">
        <v>2</v>
      </c>
      <c r="I13" s="60">
        <f>+H13*F13</f>
        <v>4</v>
      </c>
      <c r="J13" s="53" t="s">
        <v>210</v>
      </c>
      <c r="K13" s="84">
        <f>'Calificacion Controles'!AD12</f>
        <v>0.79999999999999982</v>
      </c>
      <c r="L13" s="88" t="s">
        <v>240</v>
      </c>
      <c r="M13" s="116">
        <v>0.25</v>
      </c>
      <c r="P13" s="129" t="s">
        <v>272</v>
      </c>
      <c r="Q13" s="130">
        <v>0.75</v>
      </c>
      <c r="R13" s="89"/>
      <c r="S13" s="89"/>
    </row>
    <row r="14" spans="1:19" ht="69.75" customHeight="1" x14ac:dyDescent="0.2">
      <c r="A14" s="66">
        <f t="shared" si="1"/>
        <v>10</v>
      </c>
      <c r="B14" s="56" t="s">
        <v>165</v>
      </c>
      <c r="C14" s="69" t="s">
        <v>194</v>
      </c>
      <c r="D14" s="55" t="s">
        <v>98</v>
      </c>
      <c r="E14" s="55" t="s">
        <v>103</v>
      </c>
      <c r="F14" s="71">
        <v>1</v>
      </c>
      <c r="G14" s="55" t="s">
        <v>111</v>
      </c>
      <c r="H14" s="59">
        <v>4</v>
      </c>
      <c r="I14" s="60">
        <f>+H14*F14</f>
        <v>4</v>
      </c>
      <c r="J14" s="53" t="s">
        <v>203</v>
      </c>
      <c r="K14" s="84">
        <f>'Calificacion Controles'!AD13</f>
        <v>0</v>
      </c>
      <c r="L14" s="122" t="s">
        <v>246</v>
      </c>
      <c r="M14" s="123">
        <v>25</v>
      </c>
      <c r="P14" s="129" t="s">
        <v>273</v>
      </c>
      <c r="Q14" s="130">
        <v>0.75</v>
      </c>
      <c r="R14" s="89"/>
      <c r="S14" s="89"/>
    </row>
    <row r="15" spans="1:19" ht="60" customHeight="1" x14ac:dyDescent="0.2">
      <c r="A15" s="66">
        <f t="shared" si="1"/>
        <v>11</v>
      </c>
      <c r="B15" s="56" t="s">
        <v>168</v>
      </c>
      <c r="C15" s="69" t="s">
        <v>189</v>
      </c>
      <c r="D15" s="55" t="s">
        <v>100</v>
      </c>
      <c r="E15" s="55" t="s">
        <v>105</v>
      </c>
      <c r="F15" s="71">
        <v>3</v>
      </c>
      <c r="G15" s="55" t="s">
        <v>111</v>
      </c>
      <c r="H15" s="59">
        <v>4</v>
      </c>
      <c r="I15" s="60">
        <f>+H15*F15</f>
        <v>12</v>
      </c>
      <c r="J15" s="53" t="s">
        <v>204</v>
      </c>
      <c r="K15" s="84">
        <f>'Calificacion Controles'!AD14</f>
        <v>0</v>
      </c>
      <c r="L15" s="126" t="s">
        <v>251</v>
      </c>
      <c r="M15" s="127">
        <v>0.25</v>
      </c>
      <c r="P15" s="129" t="s">
        <v>275</v>
      </c>
      <c r="Q15" s="117" t="s">
        <v>276</v>
      </c>
      <c r="R15" s="131"/>
      <c r="S15" s="89"/>
    </row>
    <row r="16" spans="1:19" ht="135" customHeight="1" x14ac:dyDescent="0.2">
      <c r="A16" s="66">
        <f t="shared" si="1"/>
        <v>12</v>
      </c>
      <c r="B16" s="56" t="s">
        <v>170</v>
      </c>
      <c r="C16" s="69" t="s">
        <v>189</v>
      </c>
      <c r="D16" s="55" t="s">
        <v>100</v>
      </c>
      <c r="E16" s="55" t="s">
        <v>105</v>
      </c>
      <c r="F16" s="71">
        <v>3</v>
      </c>
      <c r="G16" s="55" t="s">
        <v>110</v>
      </c>
      <c r="H16" s="59">
        <v>3</v>
      </c>
      <c r="I16" s="60">
        <f t="shared" ref="I16:I21" si="2">+H16*F16</f>
        <v>9</v>
      </c>
      <c r="J16" s="53" t="s">
        <v>192</v>
      </c>
      <c r="K16" s="84">
        <f>'Calificacion Controles'!AD15</f>
        <v>1.7999999999999996</v>
      </c>
      <c r="L16" s="124" t="s">
        <v>247</v>
      </c>
      <c r="M16" s="125" t="s">
        <v>248</v>
      </c>
      <c r="P16" s="129" t="s">
        <v>279</v>
      </c>
      <c r="Q16" s="117" t="s">
        <v>280</v>
      </c>
      <c r="R16" s="133"/>
      <c r="S16" s="89"/>
    </row>
    <row r="17" spans="1:19" ht="55.5" customHeight="1" x14ac:dyDescent="0.2">
      <c r="A17" s="66">
        <f t="shared" si="1"/>
        <v>13</v>
      </c>
      <c r="B17" s="56" t="s">
        <v>175</v>
      </c>
      <c r="C17" s="54" t="s">
        <v>188</v>
      </c>
      <c r="D17" s="55" t="s">
        <v>100</v>
      </c>
      <c r="E17" s="55" t="s">
        <v>105</v>
      </c>
      <c r="F17" s="71">
        <v>3</v>
      </c>
      <c r="G17" s="55" t="s">
        <v>111</v>
      </c>
      <c r="H17" s="59">
        <v>4</v>
      </c>
      <c r="I17" s="60">
        <f>+H17*F17</f>
        <v>12</v>
      </c>
      <c r="J17" s="53" t="s">
        <v>206</v>
      </c>
      <c r="K17" s="84">
        <f>'Calificacion Controles'!AD16</f>
        <v>0.79999999999999982</v>
      </c>
      <c r="L17" s="118" t="s">
        <v>244</v>
      </c>
      <c r="M17" s="120">
        <v>0.25</v>
      </c>
      <c r="P17" s="129" t="s">
        <v>268</v>
      </c>
      <c r="Q17" s="117" t="s">
        <v>264</v>
      </c>
      <c r="R17" s="134"/>
      <c r="S17" s="89"/>
    </row>
    <row r="18" spans="1:19" ht="72" customHeight="1" thickBot="1" x14ac:dyDescent="0.25">
      <c r="A18" s="66">
        <f>A17+1</f>
        <v>14</v>
      </c>
      <c r="B18" s="77" t="s">
        <v>171</v>
      </c>
      <c r="C18" s="69" t="s">
        <v>189</v>
      </c>
      <c r="D18" s="78" t="s">
        <v>100</v>
      </c>
      <c r="E18" s="55" t="s">
        <v>105</v>
      </c>
      <c r="F18" s="71">
        <v>3</v>
      </c>
      <c r="G18" s="55" t="s">
        <v>110</v>
      </c>
      <c r="H18" s="59">
        <v>3</v>
      </c>
      <c r="I18" s="60">
        <f t="shared" si="2"/>
        <v>9</v>
      </c>
      <c r="J18" s="53" t="s">
        <v>193</v>
      </c>
      <c r="K18" s="84">
        <f>'Calificacion Controles'!AD17</f>
        <v>7.2</v>
      </c>
      <c r="L18" s="118" t="s">
        <v>252</v>
      </c>
      <c r="M18" s="125" t="s">
        <v>253</v>
      </c>
      <c r="P18" s="129" t="s">
        <v>274</v>
      </c>
      <c r="Q18" s="117" t="s">
        <v>264</v>
      </c>
      <c r="R18" s="134"/>
      <c r="S18" s="89"/>
    </row>
    <row r="19" spans="1:19" ht="75.75" customHeight="1" thickBot="1" x14ac:dyDescent="0.25">
      <c r="A19" s="66">
        <f t="shared" si="1"/>
        <v>15</v>
      </c>
      <c r="B19" s="77" t="s">
        <v>172</v>
      </c>
      <c r="C19" s="69" t="s">
        <v>189</v>
      </c>
      <c r="D19" s="78" t="s">
        <v>100</v>
      </c>
      <c r="E19" s="55" t="s">
        <v>105</v>
      </c>
      <c r="F19" s="71">
        <v>3</v>
      </c>
      <c r="G19" s="55" t="s">
        <v>110</v>
      </c>
      <c r="H19" s="59">
        <v>3</v>
      </c>
      <c r="I19" s="60">
        <f t="shared" si="2"/>
        <v>9</v>
      </c>
      <c r="J19" s="53" t="s">
        <v>207</v>
      </c>
      <c r="K19" s="84">
        <f>'Calificacion Controles'!AD18</f>
        <v>1.7999999999999996</v>
      </c>
      <c r="L19" s="81" t="s">
        <v>260</v>
      </c>
      <c r="M19" s="116">
        <v>0.25</v>
      </c>
      <c r="P19" s="129" t="s">
        <v>271</v>
      </c>
      <c r="Q19" s="117" t="s">
        <v>264</v>
      </c>
      <c r="R19" s="135"/>
      <c r="S19" s="89"/>
    </row>
    <row r="20" spans="1:19" ht="111.75" customHeight="1" thickBot="1" x14ac:dyDescent="0.25">
      <c r="A20" s="66">
        <f t="shared" si="1"/>
        <v>16</v>
      </c>
      <c r="B20" s="77" t="s">
        <v>176</v>
      </c>
      <c r="C20" s="69" t="s">
        <v>189</v>
      </c>
      <c r="D20" s="78" t="s">
        <v>100</v>
      </c>
      <c r="E20" s="55" t="s">
        <v>105</v>
      </c>
      <c r="F20" s="71">
        <v>3</v>
      </c>
      <c r="G20" s="55" t="s">
        <v>110</v>
      </c>
      <c r="H20" s="59">
        <v>3</v>
      </c>
      <c r="I20" s="60">
        <f t="shared" si="2"/>
        <v>9</v>
      </c>
      <c r="J20" s="54" t="s">
        <v>208</v>
      </c>
      <c r="K20" s="84">
        <f>'Calificacion Controles'!AD19</f>
        <v>7.2</v>
      </c>
      <c r="L20" s="81" t="s">
        <v>241</v>
      </c>
      <c r="M20" s="116">
        <v>0.25</v>
      </c>
      <c r="P20" s="129" t="s">
        <v>277</v>
      </c>
      <c r="Q20" s="117" t="s">
        <v>278</v>
      </c>
      <c r="R20" s="132"/>
      <c r="S20" s="89"/>
    </row>
    <row r="21" spans="1:19" ht="117.75" customHeight="1" thickBot="1" x14ac:dyDescent="0.25">
      <c r="A21" s="66">
        <f t="shared" si="1"/>
        <v>17</v>
      </c>
      <c r="B21" s="56" t="s">
        <v>174</v>
      </c>
      <c r="C21" s="69" t="s">
        <v>189</v>
      </c>
      <c r="D21" s="78" t="s">
        <v>100</v>
      </c>
      <c r="E21" s="55" t="s">
        <v>105</v>
      </c>
      <c r="F21" s="71">
        <v>3</v>
      </c>
      <c r="G21" s="55" t="s">
        <v>110</v>
      </c>
      <c r="H21" s="59">
        <v>3</v>
      </c>
      <c r="I21" s="60">
        <f t="shared" si="2"/>
        <v>9</v>
      </c>
      <c r="J21" s="107" t="s">
        <v>198</v>
      </c>
      <c r="K21" s="84">
        <f>'Calificacion Controles'!AD20</f>
        <v>0</v>
      </c>
      <c r="L21" s="81" t="s">
        <v>249</v>
      </c>
      <c r="M21" s="116">
        <v>0.25</v>
      </c>
      <c r="P21" s="129" t="s">
        <v>269</v>
      </c>
      <c r="Q21" s="117" t="s">
        <v>270</v>
      </c>
      <c r="R21" s="132"/>
      <c r="S21" s="89"/>
    </row>
    <row r="22" spans="1:19" ht="96" customHeight="1" thickBot="1" x14ac:dyDescent="0.25">
      <c r="A22" s="108"/>
      <c r="B22" s="109"/>
      <c r="C22" s="110"/>
      <c r="D22" s="55"/>
      <c r="E22" s="61"/>
      <c r="F22" s="59"/>
      <c r="G22" s="55"/>
      <c r="H22" s="59"/>
      <c r="I22" s="60"/>
      <c r="J22" s="81"/>
      <c r="K22" s="85"/>
      <c r="L22" s="81"/>
      <c r="M22" s="88"/>
      <c r="N22" s="89"/>
      <c r="O22" s="89"/>
      <c r="P22" s="89"/>
      <c r="Q22" s="89"/>
      <c r="R22" s="132"/>
      <c r="S22" s="89"/>
    </row>
    <row r="23" spans="1:19" ht="55.5" customHeight="1" thickBot="1" x14ac:dyDescent="0.25">
      <c r="A23" s="108"/>
      <c r="B23" s="56"/>
      <c r="C23" s="54"/>
      <c r="D23" s="55"/>
      <c r="E23" s="61"/>
      <c r="F23" s="59"/>
      <c r="G23" s="55"/>
      <c r="H23" s="79"/>
      <c r="I23" s="80"/>
      <c r="J23" s="82"/>
      <c r="K23" s="86"/>
      <c r="L23" s="81"/>
      <c r="M23" s="88"/>
      <c r="N23" s="89"/>
      <c r="O23" s="89"/>
      <c r="P23" s="89"/>
      <c r="Q23" s="89"/>
      <c r="R23" s="132"/>
      <c r="S23" s="89"/>
    </row>
    <row r="24" spans="1:19" ht="55.5" customHeight="1" x14ac:dyDescent="0.2">
      <c r="A24" s="66"/>
      <c r="B24" s="56"/>
      <c r="C24" s="69"/>
      <c r="D24" s="55"/>
      <c r="E24" s="61"/>
      <c r="F24" s="59"/>
      <c r="G24" s="55"/>
      <c r="H24" s="59"/>
      <c r="I24" s="60"/>
      <c r="J24" s="83"/>
      <c r="K24" s="85"/>
      <c r="L24" s="81"/>
      <c r="M24" s="88"/>
      <c r="N24" s="89"/>
      <c r="O24" s="89"/>
      <c r="P24" s="89"/>
      <c r="Q24" s="89"/>
      <c r="R24" s="89"/>
      <c r="S24" s="89"/>
    </row>
    <row r="25" spans="1:19" ht="116.1" customHeight="1" x14ac:dyDescent="0.2">
      <c r="A25" s="3"/>
      <c r="B25" s="3"/>
      <c r="C25" s="3"/>
      <c r="D25" s="3"/>
      <c r="E25" s="3"/>
      <c r="F25" s="3"/>
      <c r="G25" s="3"/>
      <c r="H25" s="3"/>
      <c r="I25" s="3"/>
      <c r="J25" s="3"/>
    </row>
    <row r="26" spans="1:19" ht="14.25" customHeight="1" x14ac:dyDescent="0.2">
      <c r="A26" s="3"/>
      <c r="B26" s="3"/>
      <c r="C26" s="3"/>
      <c r="D26" s="3"/>
      <c r="E26" s="3"/>
      <c r="F26" s="3"/>
      <c r="G26" s="3"/>
      <c r="H26" s="3"/>
      <c r="I26" s="3"/>
      <c r="J26" s="3"/>
    </row>
    <row r="27" spans="1:19" ht="183" customHeight="1" x14ac:dyDescent="0.2">
      <c r="A27" s="3"/>
      <c r="B27" s="3"/>
      <c r="C27" s="43" t="s">
        <v>88</v>
      </c>
      <c r="D27" s="3"/>
      <c r="E27" s="3"/>
      <c r="F27" s="3"/>
      <c r="G27" s="3"/>
      <c r="H27" s="3"/>
      <c r="I27" s="3"/>
      <c r="J27" s="3"/>
    </row>
    <row r="28" spans="1:19" ht="14.25" customHeight="1" x14ac:dyDescent="0.2">
      <c r="A28" s="3"/>
      <c r="B28" s="3"/>
      <c r="C28" s="3"/>
      <c r="D28" s="3"/>
      <c r="E28" s="3"/>
      <c r="F28" s="3" t="str">
        <f>IF($D28="","",AVERAGE(VLOOKUP($D28,Listas!$K$1:$S$6,9,0),(VLOOKUP($E28,Listas!$L$1:$S$6,8,0))))</f>
        <v/>
      </c>
      <c r="G28" s="3"/>
      <c r="H28" s="3" t="str">
        <f>IF($G28="","",(AVERAGE(VLOOKUP($G28,Listas!$M$1:$S$6,7,0))))</f>
        <v/>
      </c>
      <c r="I28" s="3" t="str">
        <f t="shared" ref="I28:I43" si="3">IF($D28="","",$F28*$H28)</f>
        <v/>
      </c>
      <c r="J28" s="3"/>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3"/>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3"/>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3"/>
        <v/>
      </c>
      <c r="J31" s="3"/>
    </row>
    <row r="32" spans="1:19" ht="14.25" customHeight="1" x14ac:dyDescent="0.2">
      <c r="A32" s="28"/>
      <c r="B32" s="26"/>
      <c r="C32" s="26"/>
      <c r="D32" s="63"/>
      <c r="E32" s="29"/>
      <c r="F32" s="27" t="str">
        <f>IF($D32="","",AVERAGE(VLOOKUP($D32,Listas!$K$1:$S$6,9,0),(VLOOKUP($E32,Listas!$L$1:$S$6,8,0))))</f>
        <v/>
      </c>
      <c r="G32" s="29"/>
      <c r="H32" s="58" t="str">
        <f>IF($G32="","",(AVERAGE(VLOOKUP($G32,Listas!$M$1:$S$6,7,0))))</f>
        <v/>
      </c>
      <c r="I32" s="30" t="str">
        <f t="shared" si="3"/>
        <v/>
      </c>
      <c r="J32" s="31"/>
      <c r="K32" s="32"/>
    </row>
    <row r="33" spans="1:11" ht="14.25" customHeight="1" x14ac:dyDescent="0.2">
      <c r="A33" s="28"/>
      <c r="B33" s="26"/>
      <c r="C33" s="26"/>
      <c r="D33" s="63"/>
      <c r="E33" s="29"/>
      <c r="F33" s="27" t="str">
        <f>IF($D33="","",AVERAGE(VLOOKUP($D33,Listas!$K$1:$S$6,9,0),(VLOOKUP($E33,Listas!$L$1:$S$6,8,0))))</f>
        <v/>
      </c>
      <c r="G33" s="29"/>
      <c r="H33" s="58" t="str">
        <f>IF($G33="","",(AVERAGE(VLOOKUP($G33,Listas!$M$1:$S$6,7,0))))</f>
        <v/>
      </c>
      <c r="I33" s="30" t="str">
        <f t="shared" si="3"/>
        <v/>
      </c>
      <c r="J33" s="31"/>
      <c r="K33" s="32"/>
    </row>
    <row r="34" spans="1:11" ht="14.25" customHeight="1" x14ac:dyDescent="0.2">
      <c r="A34" s="28"/>
      <c r="B34" s="26"/>
      <c r="C34" s="26"/>
      <c r="D34" s="63"/>
      <c r="E34" s="29"/>
      <c r="F34" s="27" t="str">
        <f>IF($D34="","",AVERAGE(VLOOKUP($D34,Listas!$K$1:$S$6,9,0),(VLOOKUP($E34,Listas!$L$1:$S$6,8,0))))</f>
        <v/>
      </c>
      <c r="G34" s="29"/>
      <c r="H34" s="58" t="str">
        <f>IF($G34="","",(AVERAGE(VLOOKUP($G34,Listas!$M$1:$S$6,7,0))))</f>
        <v/>
      </c>
      <c r="I34" s="30" t="str">
        <f t="shared" si="3"/>
        <v/>
      </c>
      <c r="J34" s="31"/>
      <c r="K34" s="32"/>
    </row>
    <row r="35" spans="1:11" ht="14.25" customHeight="1" x14ac:dyDescent="0.2">
      <c r="A35" s="28"/>
      <c r="B35" s="26"/>
      <c r="C35" s="26"/>
      <c r="D35" s="63"/>
      <c r="E35" s="29"/>
      <c r="F35" s="27" t="str">
        <f>IF($D35="","",AVERAGE(VLOOKUP($D35,Listas!$K$1:$S$6,9,0),(VLOOKUP($E35,Listas!$L$1:$S$6,8,0))))</f>
        <v/>
      </c>
      <c r="G35" s="29"/>
      <c r="H35" s="58" t="str">
        <f>IF($G35="","",(AVERAGE(VLOOKUP($G35,Listas!$M$1:$S$6,7,0))))</f>
        <v/>
      </c>
      <c r="I35" s="30" t="str">
        <f t="shared" si="3"/>
        <v/>
      </c>
      <c r="J35" s="31"/>
      <c r="K35" s="32"/>
    </row>
    <row r="36" spans="1:11" ht="14.25" customHeight="1" x14ac:dyDescent="0.2">
      <c r="A36" s="28"/>
      <c r="B36" s="26"/>
      <c r="C36" s="26"/>
      <c r="D36" s="63"/>
      <c r="E36" s="29"/>
      <c r="F36" s="27" t="str">
        <f>IF($D36="","",AVERAGE(VLOOKUP($D36,Listas!$K$1:$S$6,9,0),(VLOOKUP($E36,Listas!$L$1:$S$6,8,0))))</f>
        <v/>
      </c>
      <c r="G36" s="29"/>
      <c r="H36" s="58" t="str">
        <f>IF($G36="","",(AVERAGE(VLOOKUP($G36,Listas!$M$1:$S$6,7,0))))</f>
        <v/>
      </c>
      <c r="I36" s="30" t="str">
        <f t="shared" si="3"/>
        <v/>
      </c>
      <c r="J36" s="31"/>
      <c r="K36" s="32"/>
    </row>
    <row r="37" spans="1:11" ht="14.25" customHeight="1" x14ac:dyDescent="0.2">
      <c r="A37" s="28"/>
      <c r="B37" s="26"/>
      <c r="C37" s="26"/>
      <c r="D37" s="63"/>
      <c r="E37" s="29"/>
      <c r="F37" s="27" t="str">
        <f>IF($D37="","",AVERAGE(VLOOKUP($D37,Listas!$K$1:$S$6,9,0),(VLOOKUP($E37,Listas!$L$1:$S$6,8,0))))</f>
        <v/>
      </c>
      <c r="G37" s="29"/>
      <c r="H37" s="58" t="str">
        <f>IF($G37="","",(AVERAGE(VLOOKUP($G37,Listas!$M$1:$S$6,7,0))))</f>
        <v/>
      </c>
      <c r="I37" s="30" t="str">
        <f t="shared" si="3"/>
        <v/>
      </c>
      <c r="J37" s="31"/>
      <c r="K37" s="32"/>
    </row>
    <row r="38" spans="1:11" ht="14.25" customHeight="1" x14ac:dyDescent="0.2">
      <c r="A38" s="3"/>
      <c r="B38" s="3"/>
      <c r="C38" s="3"/>
      <c r="D38" s="3"/>
      <c r="E38" s="3"/>
      <c r="F38" s="3" t="str">
        <f>IF($D38="","",AVERAGE(VLOOKUP($D38,Listas!$K$1:$S$6,9,0),(VLOOKUP($E38,Listas!$L$1:$S$6,8,0))))</f>
        <v/>
      </c>
      <c r="G38" s="3"/>
      <c r="H38" s="3" t="str">
        <f>IF($G38="","",(AVERAGE(VLOOKUP($G38,Listas!$M$1:$S$6,7,0))))</f>
        <v/>
      </c>
      <c r="I38" s="3" t="str">
        <f t="shared" si="3"/>
        <v/>
      </c>
      <c r="J38" s="3"/>
    </row>
    <row r="39" spans="1:11" ht="14.25" customHeight="1" x14ac:dyDescent="0.2">
      <c r="A39" s="3"/>
      <c r="B39" s="3"/>
      <c r="C39" s="3"/>
      <c r="D39" s="3"/>
      <c r="E39" s="3"/>
      <c r="F39" s="3" t="str">
        <f>IF($D39="","",AVERAGE(VLOOKUP($D39,Listas!$K$1:$S$6,9,0),(VLOOKUP($E39,Listas!$L$1:$S$6,8,0))))</f>
        <v/>
      </c>
      <c r="G39" s="3"/>
      <c r="H39" s="3" t="str">
        <f>IF($G39="","",(AVERAGE(VLOOKUP($G39,Listas!$M$1:$S$6,7,0))))</f>
        <v/>
      </c>
      <c r="I39" s="3" t="str">
        <f t="shared" si="3"/>
        <v/>
      </c>
      <c r="J39" s="3"/>
    </row>
    <row r="40" spans="1:11" ht="14.25" customHeight="1" x14ac:dyDescent="0.2">
      <c r="A40" s="3"/>
      <c r="B40" s="3"/>
      <c r="C40" s="3"/>
      <c r="D40" s="3"/>
      <c r="E40" s="3"/>
      <c r="F40" s="3" t="str">
        <f>IF($D40="","",AVERAGE(VLOOKUP($D40,Listas!$K$1:$S$6,9,0),(VLOOKUP($E40,Listas!$L$1:$S$6,8,0))))</f>
        <v/>
      </c>
      <c r="G40" s="3"/>
      <c r="H40" s="3" t="str">
        <f>IF($G40="","",(AVERAGE(VLOOKUP($G40,Listas!$M$1:$S$6,7,0))))</f>
        <v/>
      </c>
      <c r="I40" s="3" t="str">
        <f t="shared" si="3"/>
        <v/>
      </c>
      <c r="J40" s="3"/>
    </row>
    <row r="41" spans="1:11" ht="14.25" customHeight="1" x14ac:dyDescent="0.2">
      <c r="A41" s="3"/>
      <c r="B41" s="3"/>
      <c r="C41" s="3"/>
      <c r="D41" s="3"/>
      <c r="E41" s="3"/>
      <c r="F41" s="3" t="str">
        <f>IF($D41="","",AVERAGE(VLOOKUP($D41,Listas!$K$1:$S$6,9,0),(VLOOKUP($E41,Listas!$L$1:$S$6,8,0))))</f>
        <v/>
      </c>
      <c r="G41" s="3"/>
      <c r="H41" s="3" t="str">
        <f>IF($G41="","",(AVERAGE(VLOOKUP($G41,Listas!$M$1:$S$6,7,0))))</f>
        <v/>
      </c>
      <c r="I41" s="3" t="str">
        <f t="shared" si="3"/>
        <v/>
      </c>
      <c r="J41" s="3"/>
    </row>
    <row r="42" spans="1:11" ht="14.25" customHeight="1" x14ac:dyDescent="0.2">
      <c r="A42" s="3"/>
      <c r="B42" s="3"/>
      <c r="C42" s="3"/>
      <c r="D42" s="3"/>
      <c r="E42" s="3"/>
      <c r="F42" s="3" t="str">
        <f>IF($D42="","",AVERAGE(VLOOKUP($D42,Listas!$K$1:$S$6,9,0),(VLOOKUP($E42,Listas!$L$1:$S$6,8,0))))</f>
        <v/>
      </c>
      <c r="G42" s="3"/>
      <c r="H42" s="3" t="str">
        <f>IF($G42="","",(AVERAGE(VLOOKUP($G42,Listas!$M$1:$S$6,7,0))))</f>
        <v/>
      </c>
      <c r="I42" s="3" t="str">
        <f t="shared" si="3"/>
        <v/>
      </c>
      <c r="J42" s="3"/>
    </row>
    <row r="43" spans="1:11" ht="14.25" customHeight="1" x14ac:dyDescent="0.2">
      <c r="A43" s="3"/>
      <c r="B43" s="3"/>
      <c r="C43" s="3"/>
      <c r="D43" s="3"/>
      <c r="E43" s="3"/>
      <c r="F43" s="3" t="str">
        <f>IF($D43="","",AVERAGE(VLOOKUP($D43,Listas!$K$1:$S$6,9,0),(VLOOKUP($E43,Listas!$L$1:$S$6,8,0))))</f>
        <v/>
      </c>
      <c r="G43" s="3"/>
      <c r="H43" s="3" t="str">
        <f>IF($G43="","",(AVERAGE(VLOOKUP($G43,Listas!$M$1:$S$6,7,0))))</f>
        <v/>
      </c>
      <c r="I43" s="3" t="str">
        <f t="shared" si="3"/>
        <v/>
      </c>
      <c r="J43" s="3"/>
    </row>
    <row r="44" spans="1:11" ht="14.25" customHeight="1" x14ac:dyDescent="0.2">
      <c r="A44" s="3"/>
      <c r="B44" s="3"/>
      <c r="C44" s="3"/>
      <c r="D44" s="3"/>
      <c r="E44" s="3"/>
      <c r="F44" s="3" t="str">
        <f>IF($D44="","",AVERAGE(VLOOKUP($D44,Listas!$K$1:$S$6,9,0),(VLOOKUP($E44,Listas!$L$1:$S$6,8,0))))</f>
        <v/>
      </c>
      <c r="G44" s="3"/>
      <c r="H44" s="3" t="str">
        <f>IF($G44="","",(AVERAGE(VLOOKUP($G44,Listas!$M$1:$S$6,7,0))))</f>
        <v/>
      </c>
      <c r="I44" s="3" t="str">
        <f t="shared" ref="I44:I75" si="4">IF($D44="","",$F44*$H44)</f>
        <v/>
      </c>
      <c r="J44" s="3"/>
    </row>
    <row r="45" spans="1:11" ht="14.25" customHeight="1" x14ac:dyDescent="0.2">
      <c r="A45" s="3"/>
      <c r="B45" s="3"/>
      <c r="C45" s="3"/>
      <c r="D45" s="3"/>
      <c r="E45" s="3"/>
      <c r="F45" s="3" t="str">
        <f>IF($D45="","",AVERAGE(VLOOKUP($D45,Listas!$K$1:$S$6,9,0),(VLOOKUP($E45,Listas!$L$1:$S$6,8,0))))</f>
        <v/>
      </c>
      <c r="G45" s="3"/>
      <c r="H45" s="3" t="str">
        <f>IF($G45="","",(AVERAGE(VLOOKUP($G45,Listas!$M$1:$S$6,7,0))))</f>
        <v/>
      </c>
      <c r="I45" s="3" t="str">
        <f t="shared" si="4"/>
        <v/>
      </c>
      <c r="J45" s="3"/>
    </row>
    <row r="46" spans="1:11" ht="14.25" customHeight="1" x14ac:dyDescent="0.2">
      <c r="A46" s="3"/>
      <c r="B46" s="3"/>
      <c r="C46" s="3"/>
      <c r="D46" s="3"/>
      <c r="E46" s="3"/>
      <c r="F46" s="3" t="str">
        <f>IF($D46="","",AVERAGE(VLOOKUP($D46,Listas!$K$1:$S$6,9,0),(VLOOKUP($E46,Listas!$L$1:$S$6,8,0))))</f>
        <v/>
      </c>
      <c r="G46" s="3"/>
      <c r="H46" s="3" t="str">
        <f>IF($G46="","",(AVERAGE(VLOOKUP($G46,Listas!$M$1:$S$6,7,0))))</f>
        <v/>
      </c>
      <c r="I46" s="3" t="str">
        <f t="shared" si="4"/>
        <v/>
      </c>
      <c r="J46" s="3"/>
    </row>
    <row r="47" spans="1:11" ht="14.25" customHeight="1" x14ac:dyDescent="0.2">
      <c r="A47" s="3"/>
      <c r="B47" s="3"/>
      <c r="C47" s="3"/>
      <c r="D47" s="3"/>
      <c r="E47" s="3"/>
      <c r="F47" s="3" t="str">
        <f>IF($D47="","",AVERAGE(VLOOKUP($D47,Listas!$K$1:$S$6,9,0),(VLOOKUP($E47,Listas!$L$1:$S$6,8,0))))</f>
        <v/>
      </c>
      <c r="G47" s="3"/>
      <c r="H47" s="3" t="str">
        <f>IF($G47="","",(AVERAGE(VLOOKUP($G47,Listas!$M$1:$S$6,7,0))))</f>
        <v/>
      </c>
      <c r="I47" s="3" t="str">
        <f t="shared" si="4"/>
        <v/>
      </c>
      <c r="J47" s="3"/>
    </row>
    <row r="48" spans="1:11" ht="14.25" customHeight="1" x14ac:dyDescent="0.2">
      <c r="A48" s="3"/>
      <c r="B48" s="3"/>
      <c r="C48" s="3"/>
      <c r="D48" s="3"/>
      <c r="E48" s="3"/>
      <c r="F48" s="3" t="str">
        <f>IF($D48="","",AVERAGE(VLOOKUP($D48,Listas!$K$1:$S$6,9,0),(VLOOKUP($E48,Listas!$L$1:$S$6,8,0))))</f>
        <v/>
      </c>
      <c r="G48" s="3"/>
      <c r="H48" s="3" t="str">
        <f>IF($G48="","",(AVERAGE(VLOOKUP($G48,Listas!$M$1:$S$6,7,0))))</f>
        <v/>
      </c>
      <c r="I48" s="3" t="str">
        <f t="shared" si="4"/>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4"/>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4"/>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4"/>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4"/>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4"/>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4"/>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4"/>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4"/>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4"/>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4"/>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4"/>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4"/>
        <v/>
      </c>
      <c r="J60" s="3"/>
    </row>
    <row r="61" spans="1:10" ht="14.25" customHeight="1" x14ac:dyDescent="0.2">
      <c r="A61" s="3"/>
      <c r="B61" s="3"/>
      <c r="C61" s="3"/>
      <c r="D61" s="3"/>
      <c r="E61" s="3"/>
      <c r="F61" s="3" t="str">
        <f>IF($D61="","",AVERAGE(VLOOKUP($D61,Listas!$K$1:$S$6,9,0),(VLOOKUP($E61,Listas!$L$1:$S$6,8,0))))</f>
        <v/>
      </c>
      <c r="G61" s="3"/>
      <c r="H61" s="3" t="str">
        <f>IF($G61="","",(AVERAGE(VLOOKUP($G61,Listas!$M$1:$S$6,7,0))))</f>
        <v/>
      </c>
      <c r="I61" s="3" t="str">
        <f t="shared" si="4"/>
        <v/>
      </c>
      <c r="J61" s="3"/>
    </row>
    <row r="62" spans="1:10" ht="14.25" customHeight="1" x14ac:dyDescent="0.2">
      <c r="A62" s="3"/>
      <c r="B62" s="3"/>
      <c r="C62" s="3"/>
      <c r="D62" s="3"/>
      <c r="E62" s="3"/>
      <c r="F62" s="3" t="str">
        <f>IF($D62="","",AVERAGE(VLOOKUP($D62,Listas!$K$1:$S$6,9,0),(VLOOKUP($E62,Listas!$L$1:$S$6,8,0))))</f>
        <v/>
      </c>
      <c r="G62" s="3"/>
      <c r="H62" s="3" t="str">
        <f>IF($G62="","",(AVERAGE(VLOOKUP($G62,Listas!$M$1:$S$6,7,0))))</f>
        <v/>
      </c>
      <c r="I62" s="3" t="str">
        <f t="shared" si="4"/>
        <v/>
      </c>
      <c r="J62" s="3"/>
    </row>
    <row r="63" spans="1:10" ht="14.25" customHeight="1" x14ac:dyDescent="0.2">
      <c r="A63" s="3"/>
      <c r="B63" s="3"/>
      <c r="C63" s="3"/>
      <c r="D63" s="3"/>
      <c r="E63" s="3"/>
      <c r="F63" s="3" t="str">
        <f>IF($D63="","",AVERAGE(VLOOKUP($D63,Listas!$K$1:$S$6,9,0),(VLOOKUP($E63,Listas!$L$1:$S$6,8,0))))</f>
        <v/>
      </c>
      <c r="G63" s="3"/>
      <c r="H63" s="3" t="str">
        <f>IF($G63="","",(AVERAGE(VLOOKUP($G63,Listas!$M$1:$S$6,7,0))))</f>
        <v/>
      </c>
      <c r="I63" s="3" t="str">
        <f t="shared" si="4"/>
        <v/>
      </c>
      <c r="J63" s="3"/>
    </row>
    <row r="64" spans="1:10" ht="14.25" customHeight="1" x14ac:dyDescent="0.2">
      <c r="A64" s="3"/>
      <c r="B64" s="3"/>
      <c r="C64" s="3"/>
      <c r="D64" s="3"/>
      <c r="E64" s="3"/>
      <c r="F64" s="3" t="str">
        <f>IF($D64="","",AVERAGE(VLOOKUP($D64,Listas!$K$1:$S$6,9,0),(VLOOKUP($E64,Listas!$L$1:$S$6,8,0))))</f>
        <v/>
      </c>
      <c r="G64" s="3"/>
      <c r="H64" s="3" t="str">
        <f>IF($G64="","",(AVERAGE(VLOOKUP($G64,Listas!$M$1:$S$6,7,0))))</f>
        <v/>
      </c>
      <c r="I64" s="3" t="str">
        <f t="shared" si="4"/>
        <v/>
      </c>
      <c r="J64" s="3"/>
    </row>
    <row r="65" spans="1:10" ht="14.25" customHeight="1" x14ac:dyDescent="0.2">
      <c r="A65" s="3"/>
      <c r="B65" s="3"/>
      <c r="C65" s="3"/>
      <c r="D65" s="3"/>
      <c r="E65" s="3"/>
      <c r="F65" s="3" t="str">
        <f>IF($D65="","",AVERAGE(VLOOKUP($D65,Listas!$K$1:$S$6,9,0),(VLOOKUP($E65,Listas!$L$1:$S$6,8,0))))</f>
        <v/>
      </c>
      <c r="G65" s="3"/>
      <c r="H65" s="3" t="str">
        <f>IF($G65="","",(AVERAGE(VLOOKUP($G65,Listas!$M$1:$S$6,7,0))))</f>
        <v/>
      </c>
      <c r="I65" s="3" t="str">
        <f t="shared" si="4"/>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4"/>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si="4"/>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si="4"/>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4"/>
        <v/>
      </c>
      <c r="J69" s="3"/>
    </row>
    <row r="70" spans="1:10" x14ac:dyDescent="0.2">
      <c r="A70" s="3"/>
      <c r="B70" s="3"/>
      <c r="C70" s="3"/>
      <c r="D70" s="3"/>
      <c r="E70" s="3"/>
      <c r="F70" s="3" t="str">
        <f>IF($D70="","",AVERAGE(VLOOKUP($D70,Listas!$K$1:$S$6,9,0),(VLOOKUP($E70,Listas!$L$1:$S$6,8,0))))</f>
        <v/>
      </c>
      <c r="G70" s="3"/>
      <c r="H70" s="3" t="str">
        <f>IF($G70="","",(AVERAGE(VLOOKUP($G70,Listas!$M$1:$S$6,7,0))))</f>
        <v/>
      </c>
      <c r="I70" s="3" t="str">
        <f t="shared" si="4"/>
        <v/>
      </c>
      <c r="J70" s="3"/>
    </row>
    <row r="71" spans="1:10" ht="12.6" customHeight="1" x14ac:dyDescent="0.2">
      <c r="A71" s="3"/>
      <c r="B71" s="3"/>
      <c r="C71" s="3"/>
      <c r="D71" s="3"/>
      <c r="E71" s="3"/>
      <c r="F71" s="3" t="str">
        <f>IF($D71="","",AVERAGE(VLOOKUP($D71,Listas!$K$1:$S$6,9,0),(VLOOKUP($E71,Listas!$L$1:$S$6,8,0))))</f>
        <v/>
      </c>
      <c r="G71" s="3"/>
      <c r="H71" s="3" t="str">
        <f>IF($G71="","",(AVERAGE(VLOOKUP($G71,Listas!$M$1:$S$6,7,0))))</f>
        <v/>
      </c>
      <c r="I71" s="3" t="str">
        <f t="shared" si="4"/>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4"/>
        <v/>
      </c>
      <c r="J72" s="3"/>
    </row>
    <row r="73" spans="1:10" ht="15" customHeight="1" x14ac:dyDescent="0.2">
      <c r="A73" s="3"/>
      <c r="B73" s="3"/>
      <c r="C73" s="3"/>
      <c r="D73" s="3"/>
      <c r="E73" s="3"/>
      <c r="F73" s="3" t="str">
        <f>IF($D73="","",AVERAGE(VLOOKUP($D73,Listas!$K$1:$S$6,9,0),(VLOOKUP($E73,Listas!$L$1:$S$6,8,0))))</f>
        <v/>
      </c>
      <c r="G73" s="3"/>
      <c r="H73" s="3" t="str">
        <f>IF($G73="","",(AVERAGE(VLOOKUP($G73,Listas!$M$1:$S$6,7,0))))</f>
        <v/>
      </c>
      <c r="I73" s="3" t="str">
        <f t="shared" si="4"/>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4"/>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4"/>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ref="I76:I111" si="5">IF($D76="","",$F76*$H76)</f>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5"/>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5"/>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5"/>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5"/>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5"/>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5"/>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5"/>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5"/>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5"/>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5"/>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5"/>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5"/>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5"/>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5"/>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5"/>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5"/>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5"/>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5"/>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5"/>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5"/>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5"/>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5"/>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5"/>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5"/>
        <v/>
      </c>
      <c r="J100" s="3"/>
    </row>
    <row r="101" spans="1:10" ht="14.25" customHeight="1" x14ac:dyDescent="0.2">
      <c r="A101" s="3"/>
      <c r="B101" s="3"/>
      <c r="C101" s="3"/>
      <c r="D101" s="3"/>
      <c r="E101" s="3"/>
      <c r="F101" s="3" t="str">
        <f>IF($D101="","",AVERAGE(VLOOKUP($D101,Listas!$K$1:$S$6,9,0),(VLOOKUP($E101,Listas!$L$1:$S$6,8,0))))</f>
        <v/>
      </c>
      <c r="G101" s="3"/>
      <c r="H101" s="3" t="str">
        <f>IF($G101="","",(AVERAGE(VLOOKUP($G101,Listas!$M$1:$S$6,7,0))))</f>
        <v/>
      </c>
      <c r="I101" s="3" t="str">
        <f t="shared" si="5"/>
        <v/>
      </c>
      <c r="J101" s="3"/>
    </row>
    <row r="102" spans="1:10" ht="14.25" customHeight="1" x14ac:dyDescent="0.2">
      <c r="A102" s="3"/>
      <c r="B102" s="3"/>
      <c r="C102" s="3"/>
      <c r="D102" s="3"/>
      <c r="E102" s="3"/>
      <c r="F102" s="3" t="str">
        <f>IF($D102="","",AVERAGE(VLOOKUP($D102,Listas!$K$1:$S$6,9,0),(VLOOKUP($E102,Listas!$L$1:$S$6,8,0))))</f>
        <v/>
      </c>
      <c r="G102" s="3"/>
      <c r="H102" s="3" t="str">
        <f>IF($G102="","",(AVERAGE(VLOOKUP($G102,Listas!$M$1:$S$6,7,0))))</f>
        <v/>
      </c>
      <c r="I102" s="3" t="str">
        <f t="shared" si="5"/>
        <v/>
      </c>
      <c r="J102" s="3"/>
    </row>
    <row r="103" spans="1:10" ht="14.25" customHeight="1" x14ac:dyDescent="0.2">
      <c r="A103" s="3"/>
      <c r="B103" s="3"/>
      <c r="C103" s="3"/>
      <c r="D103" s="3"/>
      <c r="E103" s="3"/>
      <c r="F103" s="3" t="str">
        <f>IF($D103="","",AVERAGE(VLOOKUP($D103,Listas!$K$1:$S$6,9,0),(VLOOKUP($E103,Listas!$L$1:$S$6,8,0))))</f>
        <v/>
      </c>
      <c r="G103" s="3"/>
      <c r="H103" s="3" t="str">
        <f>IF($G103="","",(AVERAGE(VLOOKUP($G103,Listas!$M$1:$S$6,7,0))))</f>
        <v/>
      </c>
      <c r="I103" s="3" t="str">
        <f t="shared" si="5"/>
        <v/>
      </c>
      <c r="J103" s="3"/>
    </row>
    <row r="104" spans="1:10" ht="14.25" customHeight="1" x14ac:dyDescent="0.2">
      <c r="A104" s="3"/>
      <c r="B104" s="3"/>
      <c r="C104" s="3"/>
      <c r="D104" s="3"/>
      <c r="E104" s="3"/>
      <c r="F104" s="3" t="str">
        <f>IF($D104="","",AVERAGE(VLOOKUP($D104,Listas!$K$1:$S$6,9,0),(VLOOKUP($E104,Listas!$L$1:$S$6,8,0))))</f>
        <v/>
      </c>
      <c r="G104" s="3"/>
      <c r="H104" s="3" t="str">
        <f>IF($G104="","",(AVERAGE(VLOOKUP($G104,Listas!$M$1:$S$6,7,0))))</f>
        <v/>
      </c>
      <c r="I104" s="3" t="str">
        <f t="shared" si="5"/>
        <v/>
      </c>
      <c r="J104" s="3"/>
    </row>
    <row r="105" spans="1:10" ht="14.25" customHeight="1" x14ac:dyDescent="0.2">
      <c r="A105" s="3"/>
      <c r="B105" s="3"/>
      <c r="C105" s="3"/>
      <c r="D105" s="3"/>
      <c r="E105" s="3"/>
      <c r="F105" s="3" t="str">
        <f>IF($D105="","",AVERAGE(VLOOKUP($D105,Listas!$K$1:$S$6,9,0),(VLOOKUP($E105,Listas!$L$1:$S$6,8,0))))</f>
        <v/>
      </c>
      <c r="G105" s="3"/>
      <c r="H105" s="3" t="str">
        <f>IF($G105="","",(AVERAGE(VLOOKUP($G105,Listas!$M$1:$S$6,7,0))))</f>
        <v/>
      </c>
      <c r="I105" s="3" t="str">
        <f t="shared" si="5"/>
        <v/>
      </c>
      <c r="J105" s="3"/>
    </row>
    <row r="106" spans="1:10" ht="14.25" customHeight="1" x14ac:dyDescent="0.2">
      <c r="A106" s="3"/>
      <c r="B106" s="3"/>
      <c r="C106" s="3"/>
      <c r="D106" s="3"/>
      <c r="E106" s="3"/>
      <c r="F106" s="3" t="str">
        <f>IF($D106="","",AVERAGE(VLOOKUP($D106,Listas!$K$1:$S$6,9,0),(VLOOKUP($E106,Listas!$L$1:$S$6,8,0))))</f>
        <v/>
      </c>
      <c r="G106" s="3"/>
      <c r="H106" s="3" t="str">
        <f>IF($G106="","",(AVERAGE(VLOOKUP($G106,Listas!$M$1:$S$6,7,0))))</f>
        <v/>
      </c>
      <c r="I106" s="3" t="str">
        <f t="shared" si="5"/>
        <v/>
      </c>
      <c r="J106" s="3"/>
    </row>
    <row r="107" spans="1:10" ht="14.25" customHeight="1" x14ac:dyDescent="0.2">
      <c r="A107" s="3"/>
      <c r="B107" s="3"/>
      <c r="C107" s="3"/>
      <c r="D107" s="3"/>
      <c r="E107" s="3"/>
      <c r="F107" s="3" t="str">
        <f>IF($D107="","",AVERAGE(VLOOKUP($D107,Listas!$K$1:$S$6,9,0),(VLOOKUP($E107,Listas!$L$1:$S$6,8,0))))</f>
        <v/>
      </c>
      <c r="G107" s="3"/>
      <c r="H107" s="3" t="str">
        <f>IF($G107="","",(AVERAGE(VLOOKUP($G107,Listas!$M$1:$S$6,7,0))))</f>
        <v/>
      </c>
      <c r="I107" s="3" t="str">
        <f t="shared" si="5"/>
        <v/>
      </c>
      <c r="J107" s="3"/>
    </row>
    <row r="108" spans="1:10" ht="14.25" customHeight="1" x14ac:dyDescent="0.2">
      <c r="A108" s="3"/>
      <c r="B108" s="3"/>
      <c r="C108" s="3"/>
      <c r="D108" s="3"/>
      <c r="E108" s="3"/>
      <c r="F108" s="3" t="str">
        <f>IF($D108="","",AVERAGE(VLOOKUP($D108,Listas!$K$1:$S$6,9,0),(VLOOKUP($E108,Listas!$L$1:$S$6,8,0))))</f>
        <v/>
      </c>
      <c r="G108" s="3"/>
      <c r="H108" s="3" t="str">
        <f>IF($G108="","",(AVERAGE(VLOOKUP($G108,Listas!$M$1:$S$6,7,0))))</f>
        <v/>
      </c>
      <c r="I108" s="3" t="str">
        <f t="shared" si="5"/>
        <v/>
      </c>
      <c r="J108" s="3"/>
    </row>
    <row r="109" spans="1:10" ht="14.25" customHeight="1" x14ac:dyDescent="0.2">
      <c r="A109" s="3"/>
      <c r="B109" s="3"/>
      <c r="C109" s="3"/>
      <c r="D109" s="3"/>
      <c r="E109" s="3"/>
      <c r="F109" s="3" t="str">
        <f>IF($D109="","",AVERAGE(VLOOKUP($D109,Listas!$K$1:$S$6,9,0),(VLOOKUP($E109,Listas!$L$1:$S$6,8,0))))</f>
        <v/>
      </c>
      <c r="G109" s="3"/>
      <c r="H109" s="3" t="str">
        <f>IF($G109="","",(AVERAGE(VLOOKUP($G109,Listas!$M$1:$S$6,7,0))))</f>
        <v/>
      </c>
      <c r="I109" s="3" t="str">
        <f t="shared" si="5"/>
        <v/>
      </c>
      <c r="J109" s="3"/>
    </row>
    <row r="110" spans="1:10" x14ac:dyDescent="0.2">
      <c r="A110" s="3"/>
      <c r="B110" s="3"/>
      <c r="C110" s="3"/>
      <c r="D110" s="3"/>
      <c r="E110" s="3"/>
      <c r="F110" s="3" t="str">
        <f>IF($D110="","",AVERAGE(VLOOKUP($D110,Listas!$K$1:$S$6,9,0),(VLOOKUP($E110,Listas!$L$1:$S$6,8,0))))</f>
        <v/>
      </c>
      <c r="G110" s="3"/>
      <c r="H110" s="3" t="str">
        <f>IF($G110="","",(AVERAGE(VLOOKUP($G110,Listas!$M$1:$S$6,7,0))))</f>
        <v/>
      </c>
      <c r="I110" s="3" t="str">
        <f t="shared" si="5"/>
        <v/>
      </c>
      <c r="J110" s="3"/>
    </row>
    <row r="111" spans="1:10" x14ac:dyDescent="0.2">
      <c r="A111" s="3"/>
      <c r="B111" s="3"/>
      <c r="C111" s="3"/>
      <c r="D111" s="3"/>
      <c r="E111" s="3"/>
      <c r="F111" s="3" t="str">
        <f>IF($D111="","",AVERAGE(VLOOKUP($D111,Listas!$K$1:$S$6,9,0),(VLOOKUP($E111,Listas!$L$1:$S$6,8,0))))</f>
        <v/>
      </c>
      <c r="G111" s="3"/>
      <c r="H111" s="3" t="str">
        <f>IF($G111="","",(AVERAGE(VLOOKUP($G111,Listas!$M$1:$S$6,7,0))))</f>
        <v/>
      </c>
      <c r="I111" s="3" t="str">
        <f t="shared" si="5"/>
        <v/>
      </c>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row r="425" spans="1:10" x14ac:dyDescent="0.2">
      <c r="A425" s="3"/>
      <c r="B425" s="3"/>
      <c r="C425" s="3"/>
      <c r="D425" s="3"/>
      <c r="E425" s="3"/>
      <c r="F425" s="3"/>
      <c r="G425" s="3"/>
      <c r="H425" s="3"/>
      <c r="I425" s="3"/>
      <c r="J425" s="3"/>
    </row>
    <row r="426" spans="1:10" x14ac:dyDescent="0.2">
      <c r="A426" s="3"/>
      <c r="B426" s="3"/>
      <c r="C426" s="3"/>
      <c r="D426" s="3"/>
      <c r="E426" s="3"/>
      <c r="F426" s="3"/>
      <c r="G426" s="3"/>
      <c r="H426" s="3"/>
      <c r="I426" s="3"/>
      <c r="J426" s="3"/>
    </row>
    <row r="427" spans="1:10" x14ac:dyDescent="0.2">
      <c r="A427" s="3"/>
      <c r="B427" s="3"/>
      <c r="C427" s="3"/>
      <c r="D427" s="3"/>
      <c r="E427" s="3"/>
      <c r="F427" s="3"/>
      <c r="G427" s="3"/>
      <c r="H427" s="3"/>
      <c r="I427" s="3"/>
      <c r="J427" s="3"/>
    </row>
    <row r="428" spans="1:10" x14ac:dyDescent="0.2">
      <c r="A428" s="3"/>
      <c r="B428" s="3"/>
      <c r="C428" s="3"/>
      <c r="D428" s="3"/>
      <c r="E428" s="3"/>
      <c r="F428" s="3"/>
      <c r="G428" s="3"/>
      <c r="H428" s="3"/>
      <c r="I428" s="3"/>
      <c r="J428" s="3"/>
    </row>
    <row r="429" spans="1:10" x14ac:dyDescent="0.2">
      <c r="A429" s="3"/>
      <c r="B429" s="3"/>
      <c r="C429" s="3"/>
      <c r="D429" s="3"/>
      <c r="E429" s="3"/>
      <c r="F429" s="3"/>
      <c r="G429" s="3"/>
      <c r="H429" s="3"/>
      <c r="I429" s="3"/>
      <c r="J429" s="3"/>
    </row>
    <row r="430" spans="1:10" x14ac:dyDescent="0.2">
      <c r="A430" s="3"/>
      <c r="B430" s="3"/>
      <c r="C430" s="3"/>
      <c r="D430" s="3"/>
      <c r="E430" s="3"/>
      <c r="F430" s="3"/>
      <c r="G430" s="3"/>
      <c r="H430" s="3"/>
      <c r="I430" s="3"/>
      <c r="J430" s="3"/>
    </row>
    <row r="431" spans="1:10" x14ac:dyDescent="0.2">
      <c r="A431" s="3"/>
      <c r="B431" s="3"/>
      <c r="C431" s="3"/>
      <c r="D431" s="3"/>
      <c r="E431" s="3"/>
      <c r="F431" s="3"/>
      <c r="G431" s="3"/>
      <c r="H431" s="3"/>
      <c r="I431" s="3"/>
      <c r="J431" s="3"/>
    </row>
    <row r="432" spans="1:10" x14ac:dyDescent="0.2">
      <c r="A432" s="3"/>
      <c r="B432" s="3"/>
      <c r="C432" s="3"/>
      <c r="D432" s="3"/>
      <c r="E432" s="3"/>
      <c r="F432" s="3"/>
      <c r="G432" s="3"/>
      <c r="H432" s="3"/>
      <c r="I432" s="3"/>
      <c r="J432" s="3"/>
    </row>
    <row r="433" spans="1:10" x14ac:dyDescent="0.2">
      <c r="A433" s="3"/>
      <c r="B433" s="3"/>
      <c r="C433" s="3"/>
      <c r="D433" s="3"/>
      <c r="E433" s="3"/>
      <c r="F433" s="3"/>
      <c r="G433" s="3"/>
      <c r="H433" s="3"/>
      <c r="I433" s="3"/>
      <c r="J433" s="3"/>
    </row>
  </sheetData>
  <sheetProtection formatCells="0" formatColumns="0" formatRows="0" insertRows="0" deleteRows="0" selectLockedCells="1" sort="0" autoFilter="0"/>
  <autoFilter ref="A4:S24" xr:uid="{00000000-0009-0000-0000-00000200000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32:I38 I5:I16 I18:I21">
    <cfRule type="containsBlanks" priority="57" stopIfTrue="1">
      <formula>LEN(TRIM(I5))=0</formula>
    </cfRule>
  </conditionalFormatting>
  <conditionalFormatting sqref="K5">
    <cfRule type="containsBlanks" priority="38" stopIfTrue="1">
      <formula>LEN(TRIM(K5))=0</formula>
    </cfRule>
  </conditionalFormatting>
  <conditionalFormatting sqref="I28">
    <cfRule type="containsBlanks" priority="22" stopIfTrue="1">
      <formula>LEN(TRIM(I28))=0</formula>
    </cfRule>
  </conditionalFormatting>
  <conditionalFormatting sqref="I22:I24">
    <cfRule type="containsBlanks" priority="18" stopIfTrue="1">
      <formula>LEN(TRIM(I22))=0</formula>
    </cfRule>
  </conditionalFormatting>
  <conditionalFormatting sqref="K22:K24">
    <cfRule type="containsBlanks" priority="15" stopIfTrue="1">
      <formula>LEN(TRIM(K22))=0</formula>
    </cfRule>
  </conditionalFormatting>
  <conditionalFormatting sqref="I17">
    <cfRule type="containsBlanks" priority="8" stopIfTrue="1">
      <formula>LEN(TRIM(I17))=0</formula>
    </cfRule>
  </conditionalFormatting>
  <conditionalFormatting sqref="K6:K21">
    <cfRule type="containsBlanks" priority="2" stopIfTrue="1">
      <formula>LEN(TRIM(K6))=0</formula>
    </cfRule>
  </conditionalFormatting>
  <dataValidations count="5">
    <dataValidation allowBlank="1" showErrorMessage="1" errorTitle="Error" error="Please select an option from the drop down list." sqref="E22:E24 F5:F111 H5:H111" xr:uid="{00000000-0002-0000-0200-000000000000}"/>
    <dataValidation type="list" allowBlank="1" showErrorMessage="1" errorTitle="Error" error="Please select an option from the drop down list." sqref="E25:E111 E5:E21" xr:uid="{00000000-0002-0000-0200-000001000000}">
      <formula1>Occurrences</formula1>
    </dataValidation>
    <dataValidation type="list" allowBlank="1" showInputMessage="1" showErrorMessage="1" sqref="B23:B111 B5:B2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rintOptions horizontalCentered="1" verticalCentered="1"/>
  <pageMargins left="0.7" right="0.7" top="0.75" bottom="0.75" header="0.3" footer="0.3"/>
  <pageSetup paperSize="120" scale="42" orientation="landscape" r:id="rId1"/>
  <rowBreaks count="1" manualBreakCount="1">
    <brk id="21" max="16383" man="1"/>
  </rowBreaks>
  <drawing r:id="rId2"/>
  <extLst>
    <ext xmlns:x14="http://schemas.microsoft.com/office/spreadsheetml/2009/9/main" uri="{78C0D931-6437-407d-A8EE-F0AAD7539E65}">
      <x14:conditionalFormattings>
        <x14:conditionalFormatting xmlns:xm="http://schemas.microsoft.com/office/excel/2006/main">
          <x14:cfRule type="cellIs" priority="71" stopIfTrue="1" operator="between" id="{259731CE-DE80-4E06-9AB7-EC200BECEFF9}">
            <xm:f>Listas!$C$4</xm:f>
            <xm:f>Listas!$C$2</xm:f>
            <x14:dxf>
              <fill>
                <patternFill>
                  <bgColor rgb="FFFFFF00"/>
                </patternFill>
              </fill>
            </x14:dxf>
          </x14:cfRule>
          <xm:sqref>I32:I38 I5:I16 I18:I21</xm:sqref>
        </x14:conditionalFormatting>
        <x14:conditionalFormatting xmlns:xm="http://schemas.microsoft.com/office/excel/2006/main">
          <x14:cfRule type="expression" priority="70"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J5 J32:K38</xm:sqref>
        </x14:conditionalFormatting>
        <x14:conditionalFormatting xmlns:xm="http://schemas.microsoft.com/office/excel/2006/main">
          <x14:cfRule type="cellIs" priority="61" stopIfTrue="1" operator="greaterThanOrEqual" id="{EBEAAEC9-CBDA-406F-BBCC-FF04E3EFF825}">
            <xm:f>Listas!$C$2</xm:f>
            <x14:dxf>
              <font>
                <color rgb="FFFFFF00"/>
              </font>
              <fill>
                <patternFill>
                  <bgColor rgb="FFFF0000"/>
                </patternFill>
              </fill>
            </x14:dxf>
          </x14:cfRule>
          <xm:sqref>I32:I38 I5:I16 I18:I21</xm:sqref>
        </x14:conditionalFormatting>
        <x14:conditionalFormatting xmlns:xm="http://schemas.microsoft.com/office/excel/2006/main">
          <x14:cfRule type="cellIs" priority="40"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39"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5"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24"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23"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21" stopIfTrue="1" operator="between" id="{46670E8A-495D-418B-A374-D6DCC7ECA44E}">
            <xm:f>Listas!$C$4</xm:f>
            <xm:f>Listas!$C$2</xm:f>
            <x14:dxf>
              <fill>
                <patternFill>
                  <bgColor rgb="FFFFFF00"/>
                </patternFill>
              </fill>
            </x14:dxf>
          </x14:cfRule>
          <xm:sqref>I22:I24</xm:sqref>
        </x14:conditionalFormatting>
        <x14:conditionalFormatting xmlns:xm="http://schemas.microsoft.com/office/excel/2006/main">
          <x14:cfRule type="cellIs" priority="19" stopIfTrue="1" operator="greaterThanOrEqual" id="{9A806F52-BF19-4EC1-ACE7-AA4B12438E83}">
            <xm:f>Listas!$C$2</xm:f>
            <x14:dxf>
              <font>
                <color rgb="FFFFFF00"/>
              </font>
              <fill>
                <patternFill>
                  <bgColor rgb="FFFF0000"/>
                </patternFill>
              </fill>
            </x14:dxf>
          </x14:cfRule>
          <xm:sqref>I22:I24</xm:sqref>
        </x14:conditionalFormatting>
        <x14:conditionalFormatting xmlns:xm="http://schemas.microsoft.com/office/excel/2006/main">
          <x14:cfRule type="cellIs" priority="17" stopIfTrue="1" operator="between" id="{ABC39191-29AF-4CA8-9F47-9C255B8C5BEC}">
            <xm:f>Listas!$C$4</xm:f>
            <xm:f>Listas!$C$2</xm:f>
            <x14:dxf>
              <fill>
                <patternFill>
                  <bgColor rgb="FFFFFF00"/>
                </patternFill>
              </fill>
            </x14:dxf>
          </x14:cfRule>
          <xm:sqref>K22:K24</xm:sqref>
        </x14:conditionalFormatting>
        <x14:conditionalFormatting xmlns:xm="http://schemas.microsoft.com/office/excel/2006/main">
          <x14:cfRule type="cellIs" priority="16" stopIfTrue="1" operator="greaterThanOrEqual" id="{79CE7B64-4F89-4D26-8C0C-145FFDF63CFA}">
            <xm:f>Listas!$C$2</xm:f>
            <x14:dxf>
              <font>
                <color rgb="FFFFFF00"/>
              </font>
              <fill>
                <patternFill>
                  <bgColor rgb="FFFF0000"/>
                </patternFill>
              </fill>
            </x14:dxf>
          </x14:cfRule>
          <xm:sqref>K22:K24</xm:sqref>
        </x14:conditionalFormatting>
        <x14:conditionalFormatting xmlns:xm="http://schemas.microsoft.com/office/excel/2006/main">
          <x14:cfRule type="expression" priority="11" stopIfTrue="1" id="{1F8A0589-95DC-4F76-AA2F-0964B4877C67}">
            <xm:f>$I6&lt;='C:\Users\ACORRALES\AppData\Local\Microsoft\Windows\Temporary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J6</xm:sqref>
        </x14:conditionalFormatting>
        <x14:conditionalFormatting xmlns:xm="http://schemas.microsoft.com/office/excel/2006/main">
          <x14:cfRule type="cellIs" priority="10" stopIfTrue="1" operator="between" id="{00B2126F-0568-481D-9D34-94CBC28ED431}">
            <xm:f>Listas!$C$4</xm:f>
            <xm:f>Listas!$C$2</xm:f>
            <x14:dxf>
              <fill>
                <patternFill>
                  <bgColor rgb="FFFFFF00"/>
                </patternFill>
              </fill>
            </x14:dxf>
          </x14:cfRule>
          <xm:sqref>I17</xm:sqref>
        </x14:conditionalFormatting>
        <x14:conditionalFormatting xmlns:xm="http://schemas.microsoft.com/office/excel/2006/main">
          <x14:cfRule type="cellIs" priority="9" stopIfTrue="1" operator="greaterThanOrEqual" id="{B9EB7148-B455-4CF7-9D14-52F1B3C4CD9D}">
            <xm:f>Listas!$C$2</xm:f>
            <x14:dxf>
              <font>
                <color rgb="FFFFFF00"/>
              </font>
              <fill>
                <patternFill>
                  <bgColor rgb="FFFF0000"/>
                </patternFill>
              </fill>
            </x14:dxf>
          </x14:cfRule>
          <xm:sqref>I17</xm:sqref>
        </x14:conditionalFormatting>
        <x14:conditionalFormatting xmlns:xm="http://schemas.microsoft.com/office/excel/2006/main">
          <x14:cfRule type="expression" priority="6" stopIfTrue="1" id="{F041F001-33FE-4EDC-B321-9237CEE63265}">
            <xm:f>$I18&lt;=Listas!$C$4</xm:f>
            <x14:dxf>
              <fill>
                <patternFill>
                  <bgColor theme="0" tint="-0.24994659260841701"/>
                </patternFill>
              </fill>
              <border>
                <left style="thin">
                  <color theme="0"/>
                </left>
                <right style="thin">
                  <color theme="0"/>
                </right>
                <top style="thin">
                  <color theme="0"/>
                </top>
                <bottom style="thin">
                  <color theme="0"/>
                </bottom>
              </border>
            </x14:dxf>
          </x14:cfRule>
          <xm:sqref>J18:J20</xm:sqref>
        </x14:conditionalFormatting>
        <x14:conditionalFormatting xmlns:xm="http://schemas.microsoft.com/office/excel/2006/main">
          <x14:cfRule type="expression" priority="5" stopIfTrue="1" id="{741D6546-DF95-4C65-90D7-000F31F9EE9D}">
            <xm:f>$I7&lt;='C:\Users\ACORRALES\AppData\Local\Microsoft\Windows\Temporary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J7:J17</xm:sqref>
        </x14:conditionalFormatting>
        <x14:conditionalFormatting xmlns:xm="http://schemas.microsoft.com/office/excel/2006/main">
          <x14:cfRule type="cellIs" priority="4" stopIfTrue="1" operator="between" id="{C76B86BF-B8DB-4E9E-A3FF-7BA762CB7685}">
            <xm:f>Listas!$C$4</xm:f>
            <xm:f>Listas!$C$2</xm:f>
            <x14:dxf>
              <fill>
                <patternFill>
                  <bgColor rgb="FFFFFF00"/>
                </patternFill>
              </fill>
            </x14:dxf>
          </x14:cfRule>
          <xm:sqref>K6:K21</xm:sqref>
        </x14:conditionalFormatting>
        <x14:conditionalFormatting xmlns:xm="http://schemas.microsoft.com/office/excel/2006/main">
          <x14:cfRule type="cellIs" priority="3" stopIfTrue="1" operator="greaterThanOrEqual" id="{7907C236-D08F-4CD0-BFBC-C8F001FCE608}">
            <xm:f>Listas!$C$2</xm:f>
            <x14:dxf>
              <font>
                <color rgb="FFFFFF00"/>
              </font>
              <fill>
                <patternFill>
                  <bgColor rgb="FFFF0000"/>
                </patternFill>
              </fill>
            </x14:dxf>
          </x14:cfRule>
          <xm:sqref>K6:K21</xm:sqref>
        </x14:conditionalFormatting>
        <x14:conditionalFormatting xmlns:xm="http://schemas.microsoft.com/office/excel/2006/main">
          <x14:cfRule type="expression" priority="1" stopIfTrue="1" id="{FCF19492-FD89-48B7-A31C-2B1DD915BBA3}">
            <xm:f>$I15&lt;='D:\USERS\CDIAZM\Downloads\[Matriz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topLeftCell="A10" zoomScaleNormal="100" zoomScalePageLayoutView="125" workbookViewId="0">
      <selection activeCell="J19" sqref="J19"/>
    </sheetView>
  </sheetViews>
  <sheetFormatPr baseColWidth="10" defaultRowHeight="15" x14ac:dyDescent="0.25"/>
  <cols>
    <col min="1" max="1" width="69.5703125" customWidth="1"/>
    <col min="2" max="2" width="23" bestFit="1" customWidth="1"/>
    <col min="3" max="3" width="23" customWidth="1"/>
    <col min="4" max="4" width="50.140625" customWidth="1"/>
    <col min="5" max="5" width="3.85546875" style="92" bestFit="1" customWidth="1"/>
    <col min="6" max="6" width="25.85546875" customWidth="1"/>
    <col min="7" max="7" width="3.85546875" style="99" bestFit="1" customWidth="1"/>
    <col min="8" max="8" width="19.28515625" customWidth="1"/>
    <col min="9" max="9" width="3.85546875" style="99" bestFit="1" customWidth="1"/>
    <col min="10" max="10" width="19.28515625" customWidth="1"/>
    <col min="11" max="11" width="3.85546875" style="98"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92" bestFit="1" customWidth="1"/>
    <col min="29" max="29" width="16.140625" style="92" bestFit="1" customWidth="1"/>
    <col min="30" max="30" width="12.85546875" style="92"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100" customFormat="1" ht="30" customHeight="1" x14ac:dyDescent="0.25">
      <c r="A1" s="151" t="s">
        <v>19</v>
      </c>
      <c r="B1" s="147" t="s">
        <v>91</v>
      </c>
      <c r="C1" s="147" t="s">
        <v>93</v>
      </c>
      <c r="D1" s="154" t="s">
        <v>92</v>
      </c>
      <c r="E1" s="155"/>
      <c r="F1" s="155"/>
      <c r="G1" s="155"/>
      <c r="H1" s="155"/>
      <c r="I1" s="155"/>
      <c r="J1" s="155"/>
      <c r="K1" s="155"/>
      <c r="L1" s="155"/>
      <c r="M1" s="155"/>
      <c r="N1" s="155"/>
      <c r="O1" s="155"/>
      <c r="P1" s="155"/>
      <c r="Q1" s="155"/>
      <c r="R1" s="155"/>
      <c r="S1" s="155"/>
      <c r="T1" s="155"/>
      <c r="U1" s="155"/>
      <c r="V1" s="155"/>
      <c r="W1" s="155"/>
      <c r="X1" s="155"/>
      <c r="Y1" s="155"/>
      <c r="Z1" s="155"/>
      <c r="AA1" s="155"/>
      <c r="AB1" s="147" t="s">
        <v>94</v>
      </c>
      <c r="AC1" s="147" t="s">
        <v>95</v>
      </c>
      <c r="AD1" s="147" t="s">
        <v>96</v>
      </c>
    </row>
    <row r="2" spans="1:30" s="100" customFormat="1" x14ac:dyDescent="0.25">
      <c r="A2" s="152"/>
      <c r="B2" s="148"/>
      <c r="C2" s="148"/>
      <c r="D2" s="150" t="s">
        <v>147</v>
      </c>
      <c r="E2" s="150"/>
      <c r="F2" s="150" t="s">
        <v>150</v>
      </c>
      <c r="G2" s="150"/>
      <c r="H2" s="150" t="s">
        <v>151</v>
      </c>
      <c r="I2" s="150"/>
      <c r="J2" s="150" t="s">
        <v>152</v>
      </c>
      <c r="K2" s="150"/>
      <c r="L2" s="150" t="s">
        <v>153</v>
      </c>
      <c r="M2" s="150"/>
      <c r="N2" s="150" t="s">
        <v>154</v>
      </c>
      <c r="O2" s="150"/>
      <c r="P2" s="150" t="s">
        <v>155</v>
      </c>
      <c r="Q2" s="150"/>
      <c r="R2" s="150" t="s">
        <v>156</v>
      </c>
      <c r="S2" s="150"/>
      <c r="T2" s="150" t="s">
        <v>157</v>
      </c>
      <c r="U2" s="150"/>
      <c r="V2" s="150" t="s">
        <v>158</v>
      </c>
      <c r="W2" s="150"/>
      <c r="X2" s="150" t="s">
        <v>159</v>
      </c>
      <c r="Y2" s="150"/>
      <c r="Z2" s="150" t="s">
        <v>160</v>
      </c>
      <c r="AA2" s="150"/>
      <c r="AB2" s="148"/>
      <c r="AC2" s="148"/>
      <c r="AD2" s="148"/>
    </row>
    <row r="3" spans="1:30" s="100" customFormat="1" ht="63" customHeight="1" x14ac:dyDescent="0.25">
      <c r="A3" s="153"/>
      <c r="B3" s="149"/>
      <c r="C3" s="149"/>
      <c r="D3" s="101" t="s">
        <v>148</v>
      </c>
      <c r="E3" s="102" t="s">
        <v>149</v>
      </c>
      <c r="F3" s="101" t="s">
        <v>148</v>
      </c>
      <c r="G3" s="102" t="s">
        <v>149</v>
      </c>
      <c r="H3" s="101" t="s">
        <v>148</v>
      </c>
      <c r="I3" s="102" t="s">
        <v>149</v>
      </c>
      <c r="J3" s="101" t="s">
        <v>148</v>
      </c>
      <c r="K3" s="102" t="s">
        <v>149</v>
      </c>
      <c r="L3" s="101" t="s">
        <v>148</v>
      </c>
      <c r="M3" s="102" t="s">
        <v>149</v>
      </c>
      <c r="N3" s="101" t="s">
        <v>148</v>
      </c>
      <c r="O3" s="102" t="s">
        <v>149</v>
      </c>
      <c r="P3" s="101" t="s">
        <v>148</v>
      </c>
      <c r="Q3" s="102" t="s">
        <v>149</v>
      </c>
      <c r="R3" s="101" t="s">
        <v>148</v>
      </c>
      <c r="S3" s="102" t="s">
        <v>149</v>
      </c>
      <c r="T3" s="101" t="s">
        <v>148</v>
      </c>
      <c r="U3" s="102" t="s">
        <v>149</v>
      </c>
      <c r="V3" s="101" t="s">
        <v>148</v>
      </c>
      <c r="W3" s="102" t="s">
        <v>149</v>
      </c>
      <c r="X3" s="101" t="s">
        <v>148</v>
      </c>
      <c r="Y3" s="102" t="s">
        <v>149</v>
      </c>
      <c r="Z3" s="101" t="s">
        <v>148</v>
      </c>
      <c r="AA3" s="102" t="s">
        <v>149</v>
      </c>
      <c r="AB3" s="149"/>
      <c r="AC3" s="149"/>
      <c r="AD3" s="149"/>
    </row>
    <row r="4" spans="1:30" ht="30" x14ac:dyDescent="0.25">
      <c r="A4" s="69" t="s">
        <v>186</v>
      </c>
      <c r="B4" s="95">
        <f>Riesgos!I5</f>
        <v>4</v>
      </c>
      <c r="C4" s="94">
        <v>2</v>
      </c>
      <c r="D4" s="103" t="s">
        <v>138</v>
      </c>
      <c r="E4" s="94">
        <f>+IF(D4="","",(LOOKUP(D4,CriterioControl,CriteriosControles!$B$2:$B$15)))</f>
        <v>5</v>
      </c>
      <c r="F4" s="103" t="s">
        <v>138</v>
      </c>
      <c r="G4" s="94">
        <f>+IF(F4="","",(LOOKUP(F4,CriterioControl,CriteriosControles!$B$2:$B$15)))</f>
        <v>5</v>
      </c>
      <c r="H4" s="103"/>
      <c r="I4" s="94" t="str">
        <f>+IF(H4="","",(LOOKUP(H4,CriterioControl,CriteriosControles!$B$2:$B$15)))</f>
        <v/>
      </c>
      <c r="J4" s="103"/>
      <c r="K4" s="94" t="str">
        <f>+IF(J4="","",(LOOKUP(J4,CriterioControl,CriteriosControles!$B$2:$B$15)))</f>
        <v/>
      </c>
      <c r="L4" s="103"/>
      <c r="M4" s="94" t="str">
        <f>+IF(L4="","",(LOOKUP(L4,CriterioControl,CriteriosControles!$B$2:$B$15)))</f>
        <v/>
      </c>
      <c r="N4" s="95"/>
      <c r="O4" s="94" t="str">
        <f>+IF(N4="","",(LOOKUP(N4,CriterioControl,CriteriosControles!$B$2:$B$15)))</f>
        <v/>
      </c>
      <c r="P4" s="95"/>
      <c r="Q4" s="94" t="str">
        <f>+IF(P4="","",(LOOKUP(P4,CriterioControl,CriteriosControles!$B$2:$B$15)))</f>
        <v/>
      </c>
      <c r="R4" s="95"/>
      <c r="S4" s="94" t="str">
        <f>+IF(R4="","",(LOOKUP(R4,CriterioControl,CriteriosControles!$B$2:$B$15)))</f>
        <v/>
      </c>
      <c r="T4" s="95"/>
      <c r="U4" s="94" t="str">
        <f>+IF(T4="","",(LOOKUP(T4,CriterioControl,CriteriosControles!$B$2:$B$15)))</f>
        <v/>
      </c>
      <c r="V4" s="95"/>
      <c r="W4" s="94" t="str">
        <f>+IF(V4="","",(LOOKUP(V4,CriterioControl,CriteriosControles!$B$2:$B$15)))</f>
        <v/>
      </c>
      <c r="X4" s="95"/>
      <c r="Y4" s="94" t="str">
        <f>+IF(X4="","",(LOOKUP(X4,CriterioControl,CriteriosControles!$B$2:$B$15)))</f>
        <v/>
      </c>
      <c r="Z4" s="95"/>
      <c r="AA4" s="94" t="str">
        <f>+IF(Z4="","",(LOOKUP(Z4,CriterioControl,CriteriosControles!$B$2:$B$15)))</f>
        <v/>
      </c>
      <c r="AB4" s="96">
        <f>(SUM(E4:AA4)/(C4*5))</f>
        <v>1</v>
      </c>
      <c r="AC4" s="96">
        <f>1-AB4</f>
        <v>0</v>
      </c>
      <c r="AD4" s="97">
        <f t="shared" ref="AD4:AD10" si="0">B4*AC4</f>
        <v>0</v>
      </c>
    </row>
    <row r="5" spans="1:30" ht="45" x14ac:dyDescent="0.25">
      <c r="A5" s="69" t="s">
        <v>187</v>
      </c>
      <c r="B5" s="95">
        <f>Riesgos!I6</f>
        <v>12</v>
      </c>
      <c r="C5" s="94">
        <v>3</v>
      </c>
      <c r="D5" s="103" t="s">
        <v>138</v>
      </c>
      <c r="E5" s="94">
        <f>+IF(D5="","",(LOOKUP(D5,CriterioControl,CriteriosControles!$B$2:$B$15)))</f>
        <v>5</v>
      </c>
      <c r="F5" s="103" t="s">
        <v>142</v>
      </c>
      <c r="G5" s="94">
        <f>+IF(F5="","",(LOOKUP(F5,CriterioControl,CriteriosControles!$B$2:$B$15)))</f>
        <v>4</v>
      </c>
      <c r="H5" s="103" t="s">
        <v>135</v>
      </c>
      <c r="I5" s="94">
        <f>+IF(H5="","",(LOOKUP(H5,CriterioControl,CriteriosControles!$B$2:$B$15)))</f>
        <v>1</v>
      </c>
      <c r="J5" s="103"/>
      <c r="K5" s="94" t="str">
        <f>+IF(J5="","",(LOOKUP(J5,CriterioControl,CriteriosControles!$B$2:$B$15)))</f>
        <v/>
      </c>
      <c r="L5" s="103"/>
      <c r="M5" s="94" t="str">
        <f>+IF(L5="","",(LOOKUP(L5,CriterioControl,CriteriosControles!$B$2:$B$15)))</f>
        <v/>
      </c>
      <c r="N5" s="95"/>
      <c r="O5" s="94" t="str">
        <f>+IF(N5="","",(LOOKUP(N5,CriterioControl,CriteriosControles!$B$2:$B$15)))</f>
        <v/>
      </c>
      <c r="P5" s="95"/>
      <c r="Q5" s="94" t="str">
        <f>+IF(P5="","",(LOOKUP(P5,CriterioControl,CriteriosControles!$B$2:$B$15)))</f>
        <v/>
      </c>
      <c r="R5" s="95"/>
      <c r="S5" s="94" t="str">
        <f>+IF(R5="","",(LOOKUP(R5,CriterioControl,CriteriosControles!$B$2:$B$15)))</f>
        <v/>
      </c>
      <c r="T5" s="95"/>
      <c r="U5" s="94" t="str">
        <f>+IF(T5="","",(LOOKUP(T5,CriterioControl,CriteriosControles!$B$2:$B$15)))</f>
        <v/>
      </c>
      <c r="V5" s="95"/>
      <c r="W5" s="94" t="str">
        <f>+IF(V5="","",(LOOKUP(V5,CriterioControl,CriteriosControles!$B$2:$B$15)))</f>
        <v/>
      </c>
      <c r="X5" s="95"/>
      <c r="Y5" s="94" t="str">
        <f>+IF(X5="","",(LOOKUP(X5,CriterioControl,CriteriosControles!$B$2:$B$15)))</f>
        <v/>
      </c>
      <c r="Z5" s="95"/>
      <c r="AA5" s="94" t="str">
        <f>+IF(Z5="","",(LOOKUP(Z5,CriterioControl,CriteriosControles!$B$2:$B$15)))</f>
        <v/>
      </c>
      <c r="AB5" s="96">
        <f t="shared" ref="AB5:AB23" si="1">(SUM(E5:AA5)/(C5*5))</f>
        <v>0.66666666666666663</v>
      </c>
      <c r="AC5" s="96">
        <f t="shared" ref="AC5:AC16" si="2">1-AB5</f>
        <v>0.33333333333333337</v>
      </c>
      <c r="AD5" s="97">
        <f t="shared" si="0"/>
        <v>4</v>
      </c>
    </row>
    <row r="6" spans="1:30" ht="45" x14ac:dyDescent="0.25">
      <c r="A6" s="69" t="s">
        <v>189</v>
      </c>
      <c r="B6" s="95">
        <f>Riesgos!I7</f>
        <v>12</v>
      </c>
      <c r="C6" s="94">
        <v>3</v>
      </c>
      <c r="D6" s="103" t="s">
        <v>141</v>
      </c>
      <c r="E6" s="94">
        <f>+IF(D6="","",(LOOKUP(D6,CriterioControl,CriteriosControles!$B$2:$B$15)))</f>
        <v>3</v>
      </c>
      <c r="F6" s="103" t="s">
        <v>138</v>
      </c>
      <c r="G6" s="94">
        <f>+IF(F6="","",(LOOKUP(F6,CriterioControl,CriteriosControles!$B$2:$B$15)))</f>
        <v>5</v>
      </c>
      <c r="H6" s="103" t="s">
        <v>142</v>
      </c>
      <c r="I6" s="94">
        <f>+IF(H6="","",(LOOKUP(H6,CriterioControl,CriteriosControles!$B$2:$B$15)))</f>
        <v>4</v>
      </c>
      <c r="J6" s="103"/>
      <c r="K6" s="94" t="str">
        <f>+IF(J6="","",(LOOKUP(J6,CriterioControl,CriteriosControles!$B$2:$B$15)))</f>
        <v/>
      </c>
      <c r="L6" s="103"/>
      <c r="M6" s="94" t="str">
        <f>+IF(L6="","",(LOOKUP(L6,CriterioControl,CriteriosControles!$B$2:$B$15)))</f>
        <v/>
      </c>
      <c r="N6" s="95"/>
      <c r="O6" s="94" t="str">
        <f>+IF(N6="","",(LOOKUP(N6,CriterioControl,CriteriosControles!$B$2:$B$15)))</f>
        <v/>
      </c>
      <c r="P6" s="95"/>
      <c r="Q6" s="94" t="str">
        <f>+IF(P6="","",(LOOKUP(P6,CriterioControl,CriteriosControles!$B$2:$B$15)))</f>
        <v/>
      </c>
      <c r="R6" s="95"/>
      <c r="S6" s="94" t="str">
        <f>+IF(R6="","",(LOOKUP(R6,CriterioControl,CriteriosControles!$B$2:$B$15)))</f>
        <v/>
      </c>
      <c r="T6" s="95"/>
      <c r="U6" s="94" t="str">
        <f>+IF(T6="","",(LOOKUP(T6,CriterioControl,CriteriosControles!$B$2:$B$15)))</f>
        <v/>
      </c>
      <c r="V6" s="95"/>
      <c r="W6" s="94" t="str">
        <f>+IF(V6="","",(LOOKUP(V6,CriterioControl,CriteriosControles!$B$2:$B$15)))</f>
        <v/>
      </c>
      <c r="X6" s="95"/>
      <c r="Y6" s="94" t="str">
        <f>+IF(X6="","",(LOOKUP(X6,CriterioControl,CriteriosControles!$B$2:$B$15)))</f>
        <v/>
      </c>
      <c r="Z6" s="95"/>
      <c r="AA6" s="94" t="str">
        <f>+IF(Z6="","",(LOOKUP(Z6,CriterioControl,CriteriosControles!$B$2:$B$15)))</f>
        <v/>
      </c>
      <c r="AB6" s="96">
        <f t="shared" si="1"/>
        <v>0.8</v>
      </c>
      <c r="AC6" s="96">
        <f t="shared" si="2"/>
        <v>0.19999999999999996</v>
      </c>
      <c r="AD6" s="97">
        <f t="shared" si="0"/>
        <v>2.3999999999999995</v>
      </c>
    </row>
    <row r="7" spans="1:30" ht="30" x14ac:dyDescent="0.25">
      <c r="A7" s="69" t="s">
        <v>190</v>
      </c>
      <c r="B7" s="95">
        <f>Riesgos!I8</f>
        <v>8</v>
      </c>
      <c r="C7" s="94">
        <v>2</v>
      </c>
      <c r="D7" s="103" t="s">
        <v>142</v>
      </c>
      <c r="E7" s="94">
        <f>+IF(D7="","",(LOOKUP(D7,CriterioControl,CriteriosControles!$B$2:$B$15)))</f>
        <v>4</v>
      </c>
      <c r="F7" s="103" t="s">
        <v>141</v>
      </c>
      <c r="G7" s="94">
        <f>+IF(F7="","",(LOOKUP(F7,CriterioControl,CriteriosControles!$B$2:$B$15)))</f>
        <v>3</v>
      </c>
      <c r="H7" s="103"/>
      <c r="I7" s="94" t="str">
        <f>+IF(H7="","",(LOOKUP(H7,CriterioControl,CriteriosControles!$B$2:$B$15)))</f>
        <v/>
      </c>
      <c r="J7" s="103"/>
      <c r="K7" s="94" t="str">
        <f>+IF(J7="","",(LOOKUP(J7,CriterioControl,CriteriosControles!$B$2:$B$15)))</f>
        <v/>
      </c>
      <c r="L7" s="103"/>
      <c r="M7" s="94" t="str">
        <f>+IF(L7="","",(LOOKUP(L7,CriterioControl,CriteriosControles!$B$2:$B$15)))</f>
        <v/>
      </c>
      <c r="N7" s="95"/>
      <c r="O7" s="94" t="str">
        <f>+IF(N7="","",(LOOKUP(N7,CriterioControl,CriteriosControles!$B$2:$B$15)))</f>
        <v/>
      </c>
      <c r="P7" s="95"/>
      <c r="Q7" s="94" t="str">
        <f>+IF(P7="","",(LOOKUP(P7,CriterioControl,CriteriosControles!$B$2:$B$15)))</f>
        <v/>
      </c>
      <c r="R7" s="95"/>
      <c r="S7" s="94" t="str">
        <f>+IF(R7="","",(LOOKUP(R7,CriterioControl,CriteriosControles!$B$2:$B$15)))</f>
        <v/>
      </c>
      <c r="T7" s="95"/>
      <c r="U7" s="94" t="str">
        <f>+IF(T7="","",(LOOKUP(T7,CriterioControl,CriteriosControles!$B$2:$B$15)))</f>
        <v/>
      </c>
      <c r="V7" s="95"/>
      <c r="W7" s="94" t="str">
        <f>+IF(V7="","",(LOOKUP(V7,CriterioControl,CriteriosControles!$B$2:$B$15)))</f>
        <v/>
      </c>
      <c r="X7" s="95"/>
      <c r="Y7" s="94" t="str">
        <f>+IF(X7="","",(LOOKUP(X7,CriterioControl,CriteriosControles!$B$2:$B$15)))</f>
        <v/>
      </c>
      <c r="Z7" s="95"/>
      <c r="AA7" s="94" t="str">
        <f>+IF(Z7="","",(LOOKUP(Z7,CriterioControl,CriteriosControles!$B$2:$B$15)))</f>
        <v/>
      </c>
      <c r="AB7" s="96">
        <f t="shared" si="1"/>
        <v>0.7</v>
      </c>
      <c r="AC7" s="96">
        <f t="shared" si="2"/>
        <v>0.30000000000000004</v>
      </c>
      <c r="AD7" s="97">
        <f t="shared" si="0"/>
        <v>2.4000000000000004</v>
      </c>
    </row>
    <row r="8" spans="1:30" ht="45" x14ac:dyDescent="0.25">
      <c r="A8" s="69" t="s">
        <v>195</v>
      </c>
      <c r="B8" s="95">
        <f>Riesgos!I9</f>
        <v>8</v>
      </c>
      <c r="C8" s="94">
        <v>5</v>
      </c>
      <c r="D8" s="103" t="s">
        <v>138</v>
      </c>
      <c r="E8" s="94">
        <f>+IF(D8="","",(LOOKUP(D8,CriterioControl,CriteriosControles!$B$2:$B$15)))</f>
        <v>5</v>
      </c>
      <c r="F8" s="103" t="s">
        <v>138</v>
      </c>
      <c r="G8" s="94">
        <f>+IF(F8="","",(LOOKUP(F8,CriterioControl,CriteriosControles!$B$2:$B$15)))</f>
        <v>5</v>
      </c>
      <c r="H8" s="103" t="s">
        <v>138</v>
      </c>
      <c r="I8" s="94">
        <f>+IF(H8="","",(LOOKUP(H8,CriterioControl,CriteriosControles!$B$2:$B$15)))</f>
        <v>5</v>
      </c>
      <c r="J8" s="103" t="s">
        <v>139</v>
      </c>
      <c r="K8" s="94">
        <f>+IF(J8="","",(LOOKUP(J8,CriterioControl,CriteriosControles!$B$2:$B$15)))</f>
        <v>1</v>
      </c>
      <c r="L8" s="103" t="s">
        <v>135</v>
      </c>
      <c r="M8" s="94">
        <f>+IF(L8="","",(LOOKUP(L8,CriterioControl,CriteriosControles!$B$2:$B$15)))</f>
        <v>1</v>
      </c>
      <c r="N8" s="95"/>
      <c r="O8" s="94" t="str">
        <f>+IF(N8="","",(LOOKUP(N8,CriterioControl,CriteriosControles!$B$2:$B$15)))</f>
        <v/>
      </c>
      <c r="P8" s="95"/>
      <c r="Q8" s="94" t="str">
        <f>+IF(P8="","",(LOOKUP(P8,CriterioControl,CriteriosControles!$B$2:$B$15)))</f>
        <v/>
      </c>
      <c r="R8" s="95"/>
      <c r="S8" s="94" t="str">
        <f>+IF(R8="","",(LOOKUP(R8,CriterioControl,CriteriosControles!$B$2:$B$15)))</f>
        <v/>
      </c>
      <c r="T8" s="95"/>
      <c r="U8" s="94" t="str">
        <f>+IF(T8="","",(LOOKUP(T8,CriterioControl,CriteriosControles!$B$2:$B$15)))</f>
        <v/>
      </c>
      <c r="V8" s="95"/>
      <c r="W8" s="94" t="str">
        <f>+IF(V8="","",(LOOKUP(V8,CriterioControl,CriteriosControles!$B$2:$B$15)))</f>
        <v/>
      </c>
      <c r="X8" s="95"/>
      <c r="Y8" s="94" t="str">
        <f>+IF(X8="","",(LOOKUP(X8,CriterioControl,CriteriosControles!$B$2:$B$15)))</f>
        <v/>
      </c>
      <c r="Z8" s="95"/>
      <c r="AA8" s="94" t="str">
        <f>+IF(Z8="","",(LOOKUP(Z8,CriterioControl,CriteriosControles!$B$2:$B$15)))</f>
        <v/>
      </c>
      <c r="AB8" s="96">
        <f t="shared" si="1"/>
        <v>0.68</v>
      </c>
      <c r="AC8" s="96">
        <f t="shared" si="2"/>
        <v>0.31999999999999995</v>
      </c>
      <c r="AD8" s="97">
        <f t="shared" si="0"/>
        <v>2.5599999999999996</v>
      </c>
    </row>
    <row r="9" spans="1:30" ht="30" x14ac:dyDescent="0.25">
      <c r="A9" s="69" t="s">
        <v>188</v>
      </c>
      <c r="B9" s="95">
        <f>Riesgos!I10</f>
        <v>12</v>
      </c>
      <c r="C9" s="94">
        <v>2</v>
      </c>
      <c r="D9" s="103" t="s">
        <v>138</v>
      </c>
      <c r="E9" s="94">
        <f>+IF(D9="","",(LOOKUP(D9,CriterioControl,CriteriosControles!$B$2:$B$15)))</f>
        <v>5</v>
      </c>
      <c r="F9" s="103" t="s">
        <v>138</v>
      </c>
      <c r="G9" s="94">
        <f>+IF(F9="","",(LOOKUP(F9,CriterioControl,CriteriosControles!$B$2:$B$15)))</f>
        <v>5</v>
      </c>
      <c r="H9" s="103"/>
      <c r="I9" s="94" t="str">
        <f>+IF(H9="","",(LOOKUP(H9,CriterioControl,CriteriosControles!$B$2:$B$15)))</f>
        <v/>
      </c>
      <c r="J9" s="103"/>
      <c r="K9" s="94" t="str">
        <f>+IF(J9="","",(LOOKUP(J9,CriterioControl,CriteriosControles!$B$2:$B$15)))</f>
        <v/>
      </c>
      <c r="L9" s="103"/>
      <c r="M9" s="94" t="str">
        <f>+IF(L9="","",(LOOKUP(L9,CriterioControl,CriteriosControles!$B$2:$B$15)))</f>
        <v/>
      </c>
      <c r="N9" s="95"/>
      <c r="O9" s="94" t="str">
        <f>+IF(N9="","",(LOOKUP(N9,CriterioControl,CriteriosControles!$B$2:$B$15)))</f>
        <v/>
      </c>
      <c r="P9" s="95"/>
      <c r="Q9" s="94" t="str">
        <f>+IF(P9="","",(LOOKUP(P9,CriterioControl,CriteriosControles!$B$2:$B$15)))</f>
        <v/>
      </c>
      <c r="R9" s="95"/>
      <c r="S9" s="94" t="str">
        <f>+IF(R9="","",(LOOKUP(R9,CriterioControl,CriteriosControles!$B$2:$B$15)))</f>
        <v/>
      </c>
      <c r="T9" s="95"/>
      <c r="U9" s="94" t="str">
        <f>+IF(T9="","",(LOOKUP(T9,CriterioControl,CriteriosControles!$B$2:$B$15)))</f>
        <v/>
      </c>
      <c r="V9" s="95"/>
      <c r="W9" s="94" t="str">
        <f>+IF(V9="","",(LOOKUP(V9,CriterioControl,CriteriosControles!$B$2:$B$15)))</f>
        <v/>
      </c>
      <c r="X9" s="95"/>
      <c r="Y9" s="94" t="str">
        <f>+IF(X9="","",(LOOKUP(X9,CriterioControl,CriteriosControles!$B$2:$B$15)))</f>
        <v/>
      </c>
      <c r="Z9" s="95"/>
      <c r="AA9" s="94" t="str">
        <f>+IF(Z9="","",(LOOKUP(Z9,CriterioControl,CriteriosControles!$B$2:$B$15)))</f>
        <v/>
      </c>
      <c r="AB9" s="96">
        <f t="shared" si="1"/>
        <v>1</v>
      </c>
      <c r="AC9" s="96">
        <f t="shared" si="2"/>
        <v>0</v>
      </c>
      <c r="AD9" s="97">
        <f t="shared" si="0"/>
        <v>0</v>
      </c>
    </row>
    <row r="10" spans="1:30" ht="25.5" x14ac:dyDescent="0.25">
      <c r="A10" s="69" t="s">
        <v>188</v>
      </c>
      <c r="B10" s="95">
        <f>Riesgos!I11</f>
        <v>4</v>
      </c>
      <c r="C10" s="94">
        <v>1</v>
      </c>
      <c r="D10" s="103" t="s">
        <v>142</v>
      </c>
      <c r="E10" s="94">
        <f>+IF(D10="","",(LOOKUP(D10,CriterioControl,CriteriosControles!$B$2:$B$15)))</f>
        <v>4</v>
      </c>
      <c r="F10" s="103"/>
      <c r="G10" s="94" t="str">
        <f>+IF(F10="","",(LOOKUP(F10,CriterioControl,CriteriosControles!$B$2:$B$15)))</f>
        <v/>
      </c>
      <c r="H10" s="103"/>
      <c r="I10" s="94" t="str">
        <f>+IF(H10="","",(LOOKUP(H10,CriterioControl,CriteriosControles!$B$2:$B$15)))</f>
        <v/>
      </c>
      <c r="J10" s="103"/>
      <c r="K10" s="94" t="str">
        <f>+IF(J10="","",(LOOKUP(J10,CriterioControl,CriteriosControles!$B$2:$B$15)))</f>
        <v/>
      </c>
      <c r="L10" s="103"/>
      <c r="M10" s="94" t="str">
        <f>+IF(L10="","",(LOOKUP(L10,CriterioControl,CriteriosControles!$B$2:$B$15)))</f>
        <v/>
      </c>
      <c r="N10" s="95"/>
      <c r="O10" s="94" t="str">
        <f>+IF(N10="","",(LOOKUP(N10,CriterioControl,CriteriosControles!$B$2:$B$15)))</f>
        <v/>
      </c>
      <c r="P10" s="95"/>
      <c r="Q10" s="94" t="str">
        <f>+IF(P10="","",(LOOKUP(P10,CriterioControl,CriteriosControles!$B$2:$B$15)))</f>
        <v/>
      </c>
      <c r="R10" s="95"/>
      <c r="S10" s="94" t="str">
        <f>+IF(R10="","",(LOOKUP(R10,CriterioControl,CriteriosControles!$B$2:$B$15)))</f>
        <v/>
      </c>
      <c r="T10" s="95"/>
      <c r="U10" s="94" t="str">
        <f>+IF(T10="","",(LOOKUP(T10,CriterioControl,CriteriosControles!$B$2:$B$15)))</f>
        <v/>
      </c>
      <c r="V10" s="95"/>
      <c r="W10" s="94" t="str">
        <f>+IF(V10="","",(LOOKUP(V10,CriterioControl,CriteriosControles!$B$2:$B$15)))</f>
        <v/>
      </c>
      <c r="X10" s="95"/>
      <c r="Y10" s="94" t="str">
        <f>+IF(X10="","",(LOOKUP(X10,CriterioControl,CriteriosControles!$B$2:$B$15)))</f>
        <v/>
      </c>
      <c r="Z10" s="95"/>
      <c r="AA10" s="94" t="str">
        <f>+IF(Z10="","",(LOOKUP(Z10,CriterioControl,CriteriosControles!$B$2:$B$15)))</f>
        <v/>
      </c>
      <c r="AB10" s="96">
        <f t="shared" si="1"/>
        <v>0.8</v>
      </c>
      <c r="AC10" s="96">
        <f t="shared" si="2"/>
        <v>0.19999999999999996</v>
      </c>
      <c r="AD10" s="97">
        <f t="shared" si="0"/>
        <v>0.79999999999999982</v>
      </c>
    </row>
    <row r="11" spans="1:30" ht="45" x14ac:dyDescent="0.25">
      <c r="A11" s="69" t="s">
        <v>189</v>
      </c>
      <c r="B11" s="95">
        <f>Riesgos!I12</f>
        <v>12</v>
      </c>
      <c r="C11" s="94">
        <v>4</v>
      </c>
      <c r="D11" s="103" t="s">
        <v>142</v>
      </c>
      <c r="E11" s="94">
        <f>+IF(D11="","",(LOOKUP(D11,CriterioControl,CriteriosControles!$B$2:$B$15)))</f>
        <v>4</v>
      </c>
      <c r="F11" s="103" t="s">
        <v>138</v>
      </c>
      <c r="G11" s="94">
        <f>+IF(F11="","",(LOOKUP(F11,CriterioControl,CriteriosControles!$B$2:$B$15)))</f>
        <v>5</v>
      </c>
      <c r="H11" s="103" t="s">
        <v>138</v>
      </c>
      <c r="I11" s="94">
        <f>+IF(H11="","",(LOOKUP(H11,CriterioControl,CriteriosControles!$B$2:$B$15)))</f>
        <v>5</v>
      </c>
      <c r="J11" s="103" t="s">
        <v>141</v>
      </c>
      <c r="K11" s="94">
        <f>+IF(J11="","",(LOOKUP(J11,CriterioControl,CriteriosControles!$B$2:$B$15)))</f>
        <v>3</v>
      </c>
      <c r="L11" s="103"/>
      <c r="M11" s="94" t="str">
        <f>+IF(L11="","",(LOOKUP(L11,CriterioControl,CriteriosControles!$B$2:$B$15)))</f>
        <v/>
      </c>
      <c r="N11" s="95"/>
      <c r="O11" s="94" t="str">
        <f>+IF(N11="","",(LOOKUP(N11,CriterioControl,CriteriosControles!$B$2:$B$15)))</f>
        <v/>
      </c>
      <c r="P11" s="95"/>
      <c r="Q11" s="94" t="str">
        <f>+IF(P11="","",(LOOKUP(P11,CriterioControl,CriteriosControles!$B$2:$B$15)))</f>
        <v/>
      </c>
      <c r="R11" s="95"/>
      <c r="S11" s="94" t="str">
        <f>+IF(R11="","",(LOOKUP(R11,CriterioControl,CriteriosControles!$B$2:$B$15)))</f>
        <v/>
      </c>
      <c r="T11" s="95"/>
      <c r="U11" s="94" t="str">
        <f>+IF(T11="","",(LOOKUP(T11,CriterioControl,CriteriosControles!$B$2:$B$15)))</f>
        <v/>
      </c>
      <c r="V11" s="95"/>
      <c r="W11" s="94" t="str">
        <f>+IF(V11="","",(LOOKUP(V11,CriterioControl,CriteriosControles!$B$2:$B$15)))</f>
        <v/>
      </c>
      <c r="X11" s="95"/>
      <c r="Y11" s="94" t="str">
        <f>+IF(X11="","",(LOOKUP(X11,CriterioControl,CriteriosControles!$B$2:$B$15)))</f>
        <v/>
      </c>
      <c r="Z11" s="95"/>
      <c r="AA11" s="94" t="str">
        <f>+IF(Z11="","",(LOOKUP(Z11,CriterioControl,CriteriosControles!$B$2:$B$15)))</f>
        <v/>
      </c>
      <c r="AB11" s="96">
        <f t="shared" si="1"/>
        <v>0.85</v>
      </c>
      <c r="AC11" s="96">
        <f t="shared" si="2"/>
        <v>0.15000000000000002</v>
      </c>
      <c r="AD11" s="97">
        <f>AC11*B11</f>
        <v>1.8000000000000003</v>
      </c>
    </row>
    <row r="12" spans="1:30" x14ac:dyDescent="0.25">
      <c r="A12" s="69" t="s">
        <v>189</v>
      </c>
      <c r="B12" s="95">
        <f>Riesgos!I13</f>
        <v>4</v>
      </c>
      <c r="C12" s="94">
        <v>1</v>
      </c>
      <c r="D12" s="103" t="s">
        <v>142</v>
      </c>
      <c r="E12" s="94">
        <f>+IF(D12="","",(LOOKUP(D12,CriterioControl,CriteriosControles!$B$2:$B$15)))</f>
        <v>4</v>
      </c>
      <c r="F12" s="103"/>
      <c r="G12" s="94" t="str">
        <f>+IF(F12="","",(LOOKUP(F12,CriterioControl,CriteriosControles!$B$2:$B$15)))</f>
        <v/>
      </c>
      <c r="H12" s="103"/>
      <c r="I12" s="94" t="str">
        <f>+IF(H12="","",(LOOKUP(H12,CriterioControl,CriteriosControles!$B$2:$B$15)))</f>
        <v/>
      </c>
      <c r="J12" s="103"/>
      <c r="K12" s="94" t="str">
        <f>+IF(J12="","",(LOOKUP(J12,CriterioControl,CriteriosControles!$B$2:$B$15)))</f>
        <v/>
      </c>
      <c r="L12" s="103"/>
      <c r="M12" s="94" t="str">
        <f>+IF(L12="","",(LOOKUP(L12,CriterioControl,CriteriosControles!$B$2:$B$15)))</f>
        <v/>
      </c>
      <c r="N12" s="95"/>
      <c r="O12" s="94" t="str">
        <f>+IF(N12="","",(LOOKUP(N12,CriterioControl,CriteriosControles!$B$2:$B$15)))</f>
        <v/>
      </c>
      <c r="P12" s="95"/>
      <c r="Q12" s="94" t="str">
        <f>+IF(P12="","",(LOOKUP(P12,CriterioControl,CriteriosControles!$B$2:$B$15)))</f>
        <v/>
      </c>
      <c r="R12" s="95"/>
      <c r="S12" s="94" t="str">
        <f>+IF(R12="","",(LOOKUP(R12,CriterioControl,CriteriosControles!$B$2:$B$15)))</f>
        <v/>
      </c>
      <c r="T12" s="95"/>
      <c r="U12" s="94" t="str">
        <f>+IF(T12="","",(LOOKUP(T12,CriterioControl,CriteriosControles!$B$2:$B$15)))</f>
        <v/>
      </c>
      <c r="V12" s="95"/>
      <c r="W12" s="94" t="str">
        <f>+IF(V12="","",(LOOKUP(V12,CriterioControl,CriteriosControles!$B$2:$B$15)))</f>
        <v/>
      </c>
      <c r="X12" s="95"/>
      <c r="Y12" s="94" t="str">
        <f>+IF(X12="","",(LOOKUP(X12,CriterioControl,CriteriosControles!$B$2:$B$15)))</f>
        <v/>
      </c>
      <c r="Z12" s="95"/>
      <c r="AA12" s="94" t="str">
        <f>+IF(Z12="","",(LOOKUP(Z12,CriterioControl,CriteriosControles!$B$2:$B$15)))</f>
        <v/>
      </c>
      <c r="AB12" s="96">
        <f t="shared" si="1"/>
        <v>0.8</v>
      </c>
      <c r="AC12" s="96">
        <f t="shared" si="2"/>
        <v>0.19999999999999996</v>
      </c>
      <c r="AD12" s="97">
        <f>AC12*B12</f>
        <v>0.79999999999999982</v>
      </c>
    </row>
    <row r="13" spans="1:30" ht="45" x14ac:dyDescent="0.25">
      <c r="A13" s="69" t="s">
        <v>194</v>
      </c>
      <c r="B13" s="95">
        <f>Riesgos!I14</f>
        <v>4</v>
      </c>
      <c r="C13" s="94">
        <v>4</v>
      </c>
      <c r="D13" s="103" t="s">
        <v>138</v>
      </c>
      <c r="E13" s="94">
        <f>+IF(D13="","",(LOOKUP(D13,CriterioControl,CriteriosControles!$B$2:$B$15)))</f>
        <v>5</v>
      </c>
      <c r="F13" s="103" t="s">
        <v>138</v>
      </c>
      <c r="G13" s="94">
        <f>+IF(F13="","",(LOOKUP(F13,CriterioControl,CriteriosControles!$B$2:$B$15)))</f>
        <v>5</v>
      </c>
      <c r="H13" s="103" t="s">
        <v>138</v>
      </c>
      <c r="I13" s="94">
        <f>+IF(H13="","",(LOOKUP(H13,CriterioControl,CriteriosControles!$B$2:$B$15)))</f>
        <v>5</v>
      </c>
      <c r="J13" s="103" t="s">
        <v>138</v>
      </c>
      <c r="K13" s="94">
        <f>+IF(J13="","",(LOOKUP(J13,CriterioControl,CriteriosControles!$B$2:$B$15)))</f>
        <v>5</v>
      </c>
      <c r="L13" s="103"/>
      <c r="M13" s="94" t="str">
        <f>+IF(L13="","",(LOOKUP(L13,CriterioControl,CriteriosControles!$B$2:$B$15)))</f>
        <v/>
      </c>
      <c r="N13" s="95"/>
      <c r="O13" s="94" t="str">
        <f>+IF(N13="","",(LOOKUP(N13,CriterioControl,CriteriosControles!$B$2:$B$15)))</f>
        <v/>
      </c>
      <c r="P13" s="95"/>
      <c r="Q13" s="94" t="str">
        <f>+IF(P13="","",(LOOKUP(P13,CriterioControl,CriteriosControles!$B$2:$B$15)))</f>
        <v/>
      </c>
      <c r="R13" s="95"/>
      <c r="S13" s="94" t="str">
        <f>+IF(R13="","",(LOOKUP(R13,CriterioControl,CriteriosControles!$B$2:$B$15)))</f>
        <v/>
      </c>
      <c r="T13" s="95"/>
      <c r="U13" s="94" t="str">
        <f>+IF(T13="","",(LOOKUP(T13,CriterioControl,CriteriosControles!$B$2:$B$15)))</f>
        <v/>
      </c>
      <c r="V13" s="95"/>
      <c r="W13" s="94" t="str">
        <f>+IF(V13="","",(LOOKUP(V13,CriterioControl,CriteriosControles!$B$2:$B$15)))</f>
        <v/>
      </c>
      <c r="X13" s="95"/>
      <c r="Y13" s="94" t="str">
        <f>+IF(X13="","",(LOOKUP(X13,CriterioControl,CriteriosControles!$B$2:$B$15)))</f>
        <v/>
      </c>
      <c r="Z13" s="95"/>
      <c r="AA13" s="94" t="str">
        <f>+IF(Z13="","",(LOOKUP(Z13,CriterioControl,CriteriosControles!$B$2:$B$15)))</f>
        <v/>
      </c>
      <c r="AB13" s="96">
        <f t="shared" si="1"/>
        <v>1</v>
      </c>
      <c r="AC13" s="96">
        <f t="shared" si="2"/>
        <v>0</v>
      </c>
      <c r="AD13" s="97">
        <f t="shared" ref="AD13:AD23" si="3">B13*AC13</f>
        <v>0</v>
      </c>
    </row>
    <row r="14" spans="1:30" ht="45" x14ac:dyDescent="0.25">
      <c r="A14" s="69" t="s">
        <v>189</v>
      </c>
      <c r="B14" s="95">
        <f>Riesgos!I15</f>
        <v>12</v>
      </c>
      <c r="C14" s="94">
        <v>4</v>
      </c>
      <c r="D14" s="103" t="s">
        <v>138</v>
      </c>
      <c r="E14" s="94">
        <f>+IF(D14="","",(LOOKUP(D14,CriterioControl,CriteriosControles!$B$2:$B$15)))</f>
        <v>5</v>
      </c>
      <c r="F14" s="103" t="s">
        <v>138</v>
      </c>
      <c r="G14" s="94">
        <f>+IF(F14="","",(LOOKUP(F14,CriterioControl,CriteriosControles!$B$2:$B$15)))</f>
        <v>5</v>
      </c>
      <c r="H14" s="103" t="s">
        <v>138</v>
      </c>
      <c r="I14" s="94">
        <f>+IF(H14="","",(LOOKUP(H14,CriterioControl,CriteriosControles!$B$2:$B$15)))</f>
        <v>5</v>
      </c>
      <c r="J14" s="103" t="s">
        <v>138</v>
      </c>
      <c r="K14" s="94">
        <f>+IF(J14="","",(LOOKUP(J14,CriterioControl,CriteriosControles!$B$2:$B$15)))</f>
        <v>5</v>
      </c>
      <c r="L14" s="103"/>
      <c r="M14" s="94" t="str">
        <f>+IF(L14="","",(LOOKUP(L14,CriterioControl,CriteriosControles!$B$2:$B$15)))</f>
        <v/>
      </c>
      <c r="N14" s="95"/>
      <c r="O14" s="94" t="str">
        <f>+IF(N14="","",(LOOKUP(N14,CriterioControl,CriteriosControles!$B$2:$B$15)))</f>
        <v/>
      </c>
      <c r="P14" s="95"/>
      <c r="Q14" s="94" t="str">
        <f>+IF(P14="","",(LOOKUP(P14,CriterioControl,CriteriosControles!$B$2:$B$15)))</f>
        <v/>
      </c>
      <c r="R14" s="95"/>
      <c r="S14" s="94" t="str">
        <f>+IF(R14="","",(LOOKUP(R14,CriterioControl,CriteriosControles!$B$2:$B$15)))</f>
        <v/>
      </c>
      <c r="T14" s="95"/>
      <c r="U14" s="94" t="str">
        <f>+IF(T14="","",(LOOKUP(T14,CriterioControl,CriteriosControles!$B$2:$B$15)))</f>
        <v/>
      </c>
      <c r="V14" s="95"/>
      <c r="W14" s="94" t="str">
        <f>+IF(V14="","",(LOOKUP(V14,CriterioControl,CriteriosControles!$B$2:$B$15)))</f>
        <v/>
      </c>
      <c r="X14" s="95"/>
      <c r="Y14" s="94" t="str">
        <f>+IF(X14="","",(LOOKUP(X14,CriterioControl,CriteriosControles!$B$2:$B$15)))</f>
        <v/>
      </c>
      <c r="Z14" s="95"/>
      <c r="AA14" s="94" t="str">
        <f>+IF(Z14="","",(LOOKUP(Z14,CriterioControl,CriteriosControles!$B$2:$B$15)))</f>
        <v/>
      </c>
      <c r="AB14" s="96">
        <f t="shared" si="1"/>
        <v>1</v>
      </c>
      <c r="AC14" s="96">
        <f t="shared" si="2"/>
        <v>0</v>
      </c>
      <c r="AD14" s="97">
        <f t="shared" si="3"/>
        <v>0</v>
      </c>
    </row>
    <row r="15" spans="1:30" ht="45" x14ac:dyDescent="0.25">
      <c r="A15" s="69" t="s">
        <v>189</v>
      </c>
      <c r="B15" s="95">
        <f>Riesgos!I16</f>
        <v>9</v>
      </c>
      <c r="C15" s="94">
        <v>4</v>
      </c>
      <c r="D15" s="103" t="s">
        <v>142</v>
      </c>
      <c r="E15" s="94">
        <f>+IF(D15="","",(LOOKUP(D15,CriterioControl,CriteriosControles!$B$2:$B$15)))</f>
        <v>4</v>
      </c>
      <c r="F15" s="103" t="s">
        <v>142</v>
      </c>
      <c r="G15" s="94">
        <f>+IF(F15="","",(LOOKUP(F15,CriterioControl,CriteriosControles!$B$2:$B$15)))</f>
        <v>4</v>
      </c>
      <c r="H15" s="103" t="s">
        <v>142</v>
      </c>
      <c r="I15" s="94">
        <f>+IF(H15="","",(LOOKUP(H15,CriterioControl,CriteriosControles!$B$2:$B$15)))</f>
        <v>4</v>
      </c>
      <c r="J15" s="103" t="s">
        <v>142</v>
      </c>
      <c r="K15" s="94">
        <f>+IF(J15="","",(LOOKUP(J15,CriterioControl,CriteriosControles!$B$2:$B$15)))</f>
        <v>4</v>
      </c>
      <c r="L15" s="103"/>
      <c r="M15" s="94" t="str">
        <f>+IF(L15="","",(LOOKUP(L15,CriterioControl,CriteriosControles!$B$2:$B$15)))</f>
        <v/>
      </c>
      <c r="N15" s="95"/>
      <c r="O15" s="94" t="str">
        <f>+IF(N15="","",(LOOKUP(N15,CriterioControl,CriteriosControles!$B$2:$B$15)))</f>
        <v/>
      </c>
      <c r="P15" s="95"/>
      <c r="Q15" s="94" t="str">
        <f>+IF(P15="","",(LOOKUP(P15,CriterioControl,CriteriosControles!$B$2:$B$15)))</f>
        <v/>
      </c>
      <c r="R15" s="95"/>
      <c r="S15" s="94" t="str">
        <f>+IF(R15="","",(LOOKUP(R15,CriterioControl,CriteriosControles!$B$2:$B$15)))</f>
        <v/>
      </c>
      <c r="T15" s="95"/>
      <c r="U15" s="94" t="str">
        <f>+IF(T15="","",(LOOKUP(T15,CriterioControl,CriteriosControles!$B$2:$B$15)))</f>
        <v/>
      </c>
      <c r="V15" s="95"/>
      <c r="W15" s="94" t="str">
        <f>+IF(V15="","",(LOOKUP(V15,CriterioControl,CriteriosControles!$B$2:$B$15)))</f>
        <v/>
      </c>
      <c r="X15" s="95"/>
      <c r="Y15" s="94" t="str">
        <f>+IF(X15="","",(LOOKUP(X15,CriterioControl,CriteriosControles!$B$2:$B$15)))</f>
        <v/>
      </c>
      <c r="Z15" s="95"/>
      <c r="AA15" s="94" t="str">
        <f>+IF(Z15="","",(LOOKUP(Z15,CriterioControl,CriteriosControles!$B$2:$B$15)))</f>
        <v/>
      </c>
      <c r="AB15" s="96">
        <f t="shared" si="1"/>
        <v>0.8</v>
      </c>
      <c r="AC15" s="96">
        <f t="shared" si="2"/>
        <v>0.19999999999999996</v>
      </c>
      <c r="AD15" s="97">
        <f t="shared" si="3"/>
        <v>1.7999999999999996</v>
      </c>
    </row>
    <row r="16" spans="1:30" ht="45" x14ac:dyDescent="0.25">
      <c r="A16" s="54" t="s">
        <v>188</v>
      </c>
      <c r="B16" s="95">
        <f>Riesgos!I17</f>
        <v>12</v>
      </c>
      <c r="C16" s="94">
        <v>3</v>
      </c>
      <c r="D16" s="103" t="s">
        <v>138</v>
      </c>
      <c r="E16" s="94">
        <f>+IF(D16="","",(LOOKUP(D16,CriterioControl,CriteriosControles!$B$2:$B$15)))</f>
        <v>5</v>
      </c>
      <c r="F16" s="103" t="s">
        <v>138</v>
      </c>
      <c r="G16" s="94">
        <f>+IF(F16="","",(LOOKUP(F16,CriterioControl,CriteriosControles!$B$2:$B$15)))</f>
        <v>5</v>
      </c>
      <c r="H16" s="103" t="s">
        <v>142</v>
      </c>
      <c r="I16" s="94">
        <f>+IF(H16="","",(LOOKUP(H16,CriterioControl,CriteriosControles!$B$2:$B$15)))</f>
        <v>4</v>
      </c>
      <c r="J16" s="103"/>
      <c r="K16" s="94" t="str">
        <f>+IF(J16="","",(LOOKUP(J16,CriterioControl,CriteriosControles!$B$2:$B$15)))</f>
        <v/>
      </c>
      <c r="L16" s="103"/>
      <c r="M16" s="94" t="str">
        <f>+IF(L16="","",(LOOKUP(L16,CriterioControl,CriteriosControles!$B$2:$B$15)))</f>
        <v/>
      </c>
      <c r="N16" s="95"/>
      <c r="O16" s="94" t="str">
        <f>+IF(N16="","",(LOOKUP(N16,CriterioControl,CriteriosControles!$B$2:$B$15)))</f>
        <v/>
      </c>
      <c r="P16" s="95"/>
      <c r="Q16" s="94" t="str">
        <f>+IF(P16="","",(LOOKUP(P16,CriterioControl,CriteriosControles!$B$2:$B$15)))</f>
        <v/>
      </c>
      <c r="R16" s="95"/>
      <c r="S16" s="94" t="str">
        <f>+IF(R16="","",(LOOKUP(R16,CriterioControl,CriteriosControles!$B$2:$B$15)))</f>
        <v/>
      </c>
      <c r="T16" s="95"/>
      <c r="U16" s="94" t="str">
        <f>+IF(T16="","",(LOOKUP(T16,CriterioControl,CriteriosControles!$B$2:$B$15)))</f>
        <v/>
      </c>
      <c r="V16" s="95"/>
      <c r="W16" s="94" t="str">
        <f>+IF(V16="","",(LOOKUP(V16,CriterioControl,CriteriosControles!$B$2:$B$15)))</f>
        <v/>
      </c>
      <c r="X16" s="95"/>
      <c r="Y16" s="94" t="str">
        <f>+IF(X16="","",(LOOKUP(X16,CriterioControl,CriteriosControles!$B$2:$B$15)))</f>
        <v/>
      </c>
      <c r="Z16" s="95"/>
      <c r="AA16" s="94" t="str">
        <f>+IF(Z16="","",(LOOKUP(Z16,CriterioControl,CriteriosControles!$B$2:$B$15)))</f>
        <v/>
      </c>
      <c r="AB16" s="96">
        <f t="shared" si="1"/>
        <v>0.93333333333333335</v>
      </c>
      <c r="AC16" s="96">
        <f t="shared" si="2"/>
        <v>6.6666666666666652E-2</v>
      </c>
      <c r="AD16" s="97">
        <f t="shared" si="3"/>
        <v>0.79999999999999982</v>
      </c>
    </row>
    <row r="17" spans="1:30" ht="45" x14ac:dyDescent="0.25">
      <c r="A17" s="69" t="s">
        <v>189</v>
      </c>
      <c r="B17" s="95">
        <f>Riesgos!I18</f>
        <v>9</v>
      </c>
      <c r="C17" s="94">
        <v>3</v>
      </c>
      <c r="D17" s="103" t="s">
        <v>139</v>
      </c>
      <c r="E17" s="94">
        <f>+IF(D17="","",(LOOKUP(D17,CriterioControl,CriteriosControles!$B$2:$B$15)))</f>
        <v>1</v>
      </c>
      <c r="F17" s="103" t="s">
        <v>139</v>
      </c>
      <c r="G17" s="94">
        <f>+IF(F17="","",(LOOKUP(F17,CriterioControl,CriteriosControles!$B$2:$B$15)))</f>
        <v>1</v>
      </c>
      <c r="H17" s="103" t="s">
        <v>135</v>
      </c>
      <c r="I17" s="94">
        <f>+IF(H17="","",(LOOKUP(H17,CriterioControl,CriteriosControles!$B$2:$B$15)))</f>
        <v>1</v>
      </c>
      <c r="J17" s="103"/>
      <c r="K17" s="94" t="str">
        <f>+IF(J17="","",(LOOKUP(J17,CriterioControl,CriteriosControles!$B$2:$B$15)))</f>
        <v/>
      </c>
      <c r="L17" s="103"/>
      <c r="M17" s="94" t="str">
        <f>+IF(L17="","",(LOOKUP(L17,CriterioControl,CriteriosControles!$B$2:$B$15)))</f>
        <v/>
      </c>
      <c r="N17" s="95"/>
      <c r="O17" s="94" t="str">
        <f>+IF(N17="","",(LOOKUP(N17,CriterioControl,CriteriosControles!$B$2:$B$15)))</f>
        <v/>
      </c>
      <c r="P17" s="95"/>
      <c r="Q17" s="94" t="str">
        <f>+IF(P17="","",(LOOKUP(P17,CriterioControl,CriteriosControles!$B$2:$B$15)))</f>
        <v/>
      </c>
      <c r="R17" s="95"/>
      <c r="S17" s="94" t="str">
        <f>+IF(R17="","",(LOOKUP(R17,CriterioControl,CriteriosControles!$B$2:$B$15)))</f>
        <v/>
      </c>
      <c r="T17" s="95"/>
      <c r="U17" s="94" t="str">
        <f>+IF(T17="","",(LOOKUP(T17,CriterioControl,CriteriosControles!$B$2:$B$15)))</f>
        <v/>
      </c>
      <c r="V17" s="95"/>
      <c r="W17" s="94" t="str">
        <f>+IF(V17="","",(LOOKUP(V17,CriterioControl,CriteriosControles!$B$2:$B$15)))</f>
        <v/>
      </c>
      <c r="X17" s="95"/>
      <c r="Y17" s="94" t="str">
        <f>+IF(X17="","",(LOOKUP(X17,CriterioControl,CriteriosControles!$B$2:$B$15)))</f>
        <v/>
      </c>
      <c r="Z17" s="95"/>
      <c r="AA17" s="94" t="str">
        <f>+IF(Z17="","",(LOOKUP(Z17,CriterioControl,CriteriosControles!$B$2:$B$15)))</f>
        <v/>
      </c>
      <c r="AB17" s="96">
        <f t="shared" si="1"/>
        <v>0.2</v>
      </c>
      <c r="AC17" s="96">
        <f t="shared" ref="AC17:AC23" si="4">1-AB17</f>
        <v>0.8</v>
      </c>
      <c r="AD17" s="97">
        <f t="shared" si="3"/>
        <v>7.2</v>
      </c>
    </row>
    <row r="18" spans="1:30" ht="45" x14ac:dyDescent="0.25">
      <c r="A18" s="69" t="s">
        <v>189</v>
      </c>
      <c r="B18" s="95">
        <f>Riesgos!I19</f>
        <v>9</v>
      </c>
      <c r="C18" s="94">
        <v>3</v>
      </c>
      <c r="D18" s="103" t="s">
        <v>141</v>
      </c>
      <c r="E18" s="94">
        <f>+IF(D18="","",(LOOKUP(D18,CriterioControl,CriteriosControles!$B$2:$B$15)))</f>
        <v>3</v>
      </c>
      <c r="F18" s="103" t="s">
        <v>138</v>
      </c>
      <c r="G18" s="94">
        <f>+IF(F18="","",(LOOKUP(F18,CriterioControl,CriteriosControles!$B$2:$B$15)))</f>
        <v>5</v>
      </c>
      <c r="H18" s="103" t="s">
        <v>142</v>
      </c>
      <c r="I18" s="94">
        <f>+IF(H18="","",(LOOKUP(H18,CriterioControl,CriteriosControles!$B$2:$B$15)))</f>
        <v>4</v>
      </c>
      <c r="J18" s="103"/>
      <c r="K18" s="94" t="str">
        <f>+IF(J18="","",(LOOKUP(J18,CriterioControl,CriteriosControles!$B$2:$B$15)))</f>
        <v/>
      </c>
      <c r="L18" s="103"/>
      <c r="M18" s="94" t="str">
        <f>+IF(L18="","",(LOOKUP(L18,CriterioControl,CriteriosControles!$B$2:$B$15)))</f>
        <v/>
      </c>
      <c r="N18" s="95"/>
      <c r="O18" s="94" t="str">
        <f>+IF(N18="","",(LOOKUP(N18,CriterioControl,CriteriosControles!$B$2:$B$15)))</f>
        <v/>
      </c>
      <c r="P18" s="95"/>
      <c r="Q18" s="94" t="str">
        <f>+IF(P18="","",(LOOKUP(P18,CriterioControl,CriteriosControles!$B$2:$B$15)))</f>
        <v/>
      </c>
      <c r="R18" s="95"/>
      <c r="S18" s="94" t="str">
        <f>+IF(R18="","",(LOOKUP(R18,CriterioControl,CriteriosControles!$B$2:$B$15)))</f>
        <v/>
      </c>
      <c r="T18" s="95"/>
      <c r="U18" s="94" t="str">
        <f>+IF(T18="","",(LOOKUP(T18,CriterioControl,CriteriosControles!$B$2:$B$15)))</f>
        <v/>
      </c>
      <c r="V18" s="95"/>
      <c r="W18" s="94" t="str">
        <f>+IF(V18="","",(LOOKUP(V18,CriterioControl,CriteriosControles!$B$2:$B$15)))</f>
        <v/>
      </c>
      <c r="X18" s="95"/>
      <c r="Y18" s="94" t="str">
        <f>+IF(X18="","",(LOOKUP(X18,CriterioControl,CriteriosControles!$B$2:$B$15)))</f>
        <v/>
      </c>
      <c r="Z18" s="95"/>
      <c r="AA18" s="94" t="str">
        <f>+IF(Z18="","",(LOOKUP(Z18,CriterioControl,CriteriosControles!$B$2:$B$15)))</f>
        <v/>
      </c>
      <c r="AB18" s="96">
        <f t="shared" si="1"/>
        <v>0.8</v>
      </c>
      <c r="AC18" s="96">
        <f t="shared" si="4"/>
        <v>0.19999999999999996</v>
      </c>
      <c r="AD18" s="97">
        <f t="shared" si="3"/>
        <v>1.7999999999999996</v>
      </c>
    </row>
    <row r="19" spans="1:30" ht="45" x14ac:dyDescent="0.25">
      <c r="A19" s="69" t="s">
        <v>189</v>
      </c>
      <c r="B19" s="95">
        <f>Riesgos!I20</f>
        <v>9</v>
      </c>
      <c r="C19" s="94">
        <v>4</v>
      </c>
      <c r="D19" s="103" t="s">
        <v>139</v>
      </c>
      <c r="E19" s="94">
        <f>+IF(D19="","",(LOOKUP(D19,CriterioControl,CriteriosControles!$B$2:$B$15)))</f>
        <v>1</v>
      </c>
      <c r="F19" s="103" t="s">
        <v>139</v>
      </c>
      <c r="G19" s="94">
        <f>+IF(F19="","",(LOOKUP(F19,CriterioControl,CriteriosControles!$B$2:$B$15)))</f>
        <v>1</v>
      </c>
      <c r="H19" s="103" t="s">
        <v>139</v>
      </c>
      <c r="I19" s="94">
        <f>+IF(H19="","",(LOOKUP(H19,CriterioControl,CriteriosControles!$B$2:$B$15)))</f>
        <v>1</v>
      </c>
      <c r="J19" s="103" t="s">
        <v>135</v>
      </c>
      <c r="K19" s="94">
        <f>+IF(J19="","",(LOOKUP(J19,CriterioControl,CriteriosControles!$B$2:$B$15)))</f>
        <v>1</v>
      </c>
      <c r="L19" s="103"/>
      <c r="M19" s="94" t="str">
        <f>+IF(L19="","",(LOOKUP(L19,CriterioControl,CriteriosControles!$B$2:$B$15)))</f>
        <v/>
      </c>
      <c r="N19" s="95"/>
      <c r="O19" s="94" t="str">
        <f>+IF(N19="","",(LOOKUP(N19,CriterioControl,CriteriosControles!$B$2:$B$15)))</f>
        <v/>
      </c>
      <c r="P19" s="95"/>
      <c r="Q19" s="94" t="str">
        <f>+IF(P19="","",(LOOKUP(P19,CriterioControl,CriteriosControles!$B$2:$B$15)))</f>
        <v/>
      </c>
      <c r="R19" s="95"/>
      <c r="S19" s="94" t="str">
        <f>+IF(R19="","",(LOOKUP(R19,CriterioControl,CriteriosControles!$B$2:$B$15)))</f>
        <v/>
      </c>
      <c r="T19" s="95"/>
      <c r="U19" s="94" t="str">
        <f>+IF(T19="","",(LOOKUP(T19,CriterioControl,CriteriosControles!$B$2:$B$15)))</f>
        <v/>
      </c>
      <c r="V19" s="95"/>
      <c r="W19" s="94" t="str">
        <f>+IF(V19="","",(LOOKUP(V19,CriterioControl,CriteriosControles!$B$2:$B$15)))</f>
        <v/>
      </c>
      <c r="X19" s="95"/>
      <c r="Y19" s="94" t="str">
        <f>+IF(X19="","",(LOOKUP(X19,CriterioControl,CriteriosControles!$B$2:$B$15)))</f>
        <v/>
      </c>
      <c r="Z19" s="95"/>
      <c r="AA19" s="94" t="str">
        <f>+IF(Z19="","",(LOOKUP(Z19,CriterioControl,CriteriosControles!$B$2:$B$15)))</f>
        <v/>
      </c>
      <c r="AB19" s="96">
        <f t="shared" si="1"/>
        <v>0.2</v>
      </c>
      <c r="AC19" s="96">
        <f t="shared" si="4"/>
        <v>0.8</v>
      </c>
      <c r="AD19" s="97">
        <f t="shared" si="3"/>
        <v>7.2</v>
      </c>
    </row>
    <row r="20" spans="1:30" ht="30" x14ac:dyDescent="0.25">
      <c r="A20" s="69" t="s">
        <v>189</v>
      </c>
      <c r="B20" s="95">
        <f>Riesgos!I21</f>
        <v>9</v>
      </c>
      <c r="C20" s="94">
        <v>2</v>
      </c>
      <c r="D20" s="103" t="s">
        <v>138</v>
      </c>
      <c r="E20" s="94">
        <f>+IF(D20="","",(LOOKUP(D20,CriterioControl,CriteriosControles!$B$2:$B$15)))</f>
        <v>5</v>
      </c>
      <c r="F20" s="103" t="s">
        <v>138</v>
      </c>
      <c r="G20" s="94">
        <f>+IF(F20="","",(LOOKUP(F20,CriterioControl,CriteriosControles!$B$2:$B$15)))</f>
        <v>5</v>
      </c>
      <c r="H20" s="103"/>
      <c r="I20" s="94" t="str">
        <f>+IF(H20="","",(LOOKUP(H20,CriterioControl,CriteriosControles!$B$2:$B$15)))</f>
        <v/>
      </c>
      <c r="J20" s="103"/>
      <c r="K20" s="94" t="str">
        <f>+IF(J20="","",(LOOKUP(J20,CriterioControl,CriteriosControles!$B$2:$B$15)))</f>
        <v/>
      </c>
      <c r="L20" s="103"/>
      <c r="M20" s="94" t="str">
        <f>+IF(L20="","",(LOOKUP(L20,CriterioControl,CriteriosControles!$B$2:$B$15)))</f>
        <v/>
      </c>
      <c r="N20" s="95"/>
      <c r="O20" s="94" t="str">
        <f>+IF(N20="","",(LOOKUP(N20,CriterioControl,CriteriosControles!$B$2:$B$15)))</f>
        <v/>
      </c>
      <c r="P20" s="95"/>
      <c r="Q20" s="94" t="str">
        <f>+IF(P20="","",(LOOKUP(P20,CriterioControl,CriteriosControles!$B$2:$B$15)))</f>
        <v/>
      </c>
      <c r="R20" s="95"/>
      <c r="S20" s="94" t="str">
        <f>+IF(R20="","",(LOOKUP(R20,CriterioControl,CriteriosControles!$B$2:$B$15)))</f>
        <v/>
      </c>
      <c r="T20" s="95"/>
      <c r="U20" s="94" t="str">
        <f>+IF(T20="","",(LOOKUP(T20,CriterioControl,CriteriosControles!$B$2:$B$15)))</f>
        <v/>
      </c>
      <c r="V20" s="95"/>
      <c r="W20" s="94" t="str">
        <f>+IF(V20="","",(LOOKUP(V20,CriterioControl,CriteriosControles!$B$2:$B$15)))</f>
        <v/>
      </c>
      <c r="X20" s="95"/>
      <c r="Y20" s="94" t="str">
        <f>+IF(X20="","",(LOOKUP(X20,CriterioControl,CriteriosControles!$B$2:$B$15)))</f>
        <v/>
      </c>
      <c r="Z20" s="95"/>
      <c r="AA20" s="94" t="str">
        <f>+IF(Z20="","",(LOOKUP(Z20,CriterioControl,CriteriosControles!$B$2:$B$15)))</f>
        <v/>
      </c>
      <c r="AB20" s="96">
        <f t="shared" si="1"/>
        <v>1</v>
      </c>
      <c r="AC20" s="96">
        <f t="shared" si="4"/>
        <v>0</v>
      </c>
      <c r="AD20" s="97">
        <f t="shared" si="3"/>
        <v>0</v>
      </c>
    </row>
    <row r="21" spans="1:30" x14ac:dyDescent="0.25">
      <c r="A21" s="93"/>
      <c r="B21" s="95">
        <f>Riesgos!I22</f>
        <v>0</v>
      </c>
      <c r="C21" s="94"/>
      <c r="D21" s="103"/>
      <c r="E21" s="94" t="str">
        <f>+IF(D21="","",(LOOKUP(D21,CriterioControl,CriteriosControles!$B$2:$B$15)))</f>
        <v/>
      </c>
      <c r="F21" s="103"/>
      <c r="G21" s="94" t="str">
        <f>+IF(F21="","",(LOOKUP(F21,CriterioControl,CriteriosControles!$B$2:$B$15)))</f>
        <v/>
      </c>
      <c r="H21" s="103"/>
      <c r="I21" s="94" t="str">
        <f>+IF(H21="","",(LOOKUP(H21,CriterioControl,CriteriosControles!$B$2:$B$15)))</f>
        <v/>
      </c>
      <c r="J21" s="103"/>
      <c r="K21" s="94" t="str">
        <f>+IF(J21="","",(LOOKUP(J21,CriterioControl,CriteriosControles!$B$2:$B$15)))</f>
        <v/>
      </c>
      <c r="L21" s="103"/>
      <c r="M21" s="94" t="str">
        <f>+IF(L21="","",(LOOKUP(L21,CriterioControl,CriteriosControles!$B$2:$B$15)))</f>
        <v/>
      </c>
      <c r="N21" s="95"/>
      <c r="O21" s="94" t="str">
        <f>+IF(N21="","",(LOOKUP(N21,CriterioControl,CriteriosControles!$B$2:$B$15)))</f>
        <v/>
      </c>
      <c r="P21" s="95"/>
      <c r="Q21" s="94" t="str">
        <f>+IF(P21="","",(LOOKUP(P21,CriterioControl,CriteriosControles!$B$2:$B$15)))</f>
        <v/>
      </c>
      <c r="R21" s="95"/>
      <c r="S21" s="94" t="str">
        <f>+IF(R21="","",(LOOKUP(R21,CriterioControl,CriteriosControles!$B$2:$B$15)))</f>
        <v/>
      </c>
      <c r="T21" s="95"/>
      <c r="U21" s="94" t="str">
        <f>+IF(T21="","",(LOOKUP(T21,CriterioControl,CriteriosControles!$B$2:$B$15)))</f>
        <v/>
      </c>
      <c r="V21" s="95"/>
      <c r="W21" s="94" t="str">
        <f>+IF(V21="","",(LOOKUP(V21,CriterioControl,CriteriosControles!$B$2:$B$15)))</f>
        <v/>
      </c>
      <c r="X21" s="95"/>
      <c r="Y21" s="94" t="str">
        <f>+IF(X21="","",(LOOKUP(X21,CriterioControl,CriteriosControles!$B$2:$B$15)))</f>
        <v/>
      </c>
      <c r="Z21" s="95"/>
      <c r="AA21" s="94" t="str">
        <f>+IF(Z21="","",(LOOKUP(Z21,CriterioControl,CriteriosControles!$B$2:$B$15)))</f>
        <v/>
      </c>
      <c r="AB21" s="96" t="e">
        <f t="shared" si="1"/>
        <v>#DIV/0!</v>
      </c>
      <c r="AC21" s="96" t="e">
        <f t="shared" si="4"/>
        <v>#DIV/0!</v>
      </c>
      <c r="AD21" s="97" t="e">
        <f t="shared" si="3"/>
        <v>#DIV/0!</v>
      </c>
    </row>
    <row r="22" spans="1:30" x14ac:dyDescent="0.25">
      <c r="A22" s="93">
        <f>Riesgos!C23</f>
        <v>0</v>
      </c>
      <c r="B22" s="95">
        <f>Riesgos!I23</f>
        <v>0</v>
      </c>
      <c r="C22" s="94"/>
      <c r="D22" s="103"/>
      <c r="E22" s="94" t="str">
        <f>+IF(D22="","",(LOOKUP(D22,CriterioControl,CriteriosControles!$B$2:$B$15)))</f>
        <v/>
      </c>
      <c r="F22" s="103"/>
      <c r="G22" s="94" t="str">
        <f>+IF(F22="","",(LOOKUP(F22,CriterioControl,CriteriosControles!$B$2:$B$15)))</f>
        <v/>
      </c>
      <c r="H22" s="103"/>
      <c r="I22" s="94" t="str">
        <f>+IF(H22="","",(LOOKUP(H22,CriterioControl,CriteriosControles!$B$2:$B$15)))</f>
        <v/>
      </c>
      <c r="J22" s="103"/>
      <c r="K22" s="94" t="str">
        <f>+IF(J22="","",(LOOKUP(J22,CriterioControl,CriteriosControles!$B$2:$B$15)))</f>
        <v/>
      </c>
      <c r="L22" s="103"/>
      <c r="M22" s="94" t="str">
        <f>+IF(L22="","",(LOOKUP(L22,CriterioControl,CriteriosControles!$B$2:$B$15)))</f>
        <v/>
      </c>
      <c r="N22" s="95"/>
      <c r="O22" s="94" t="str">
        <f>+IF(N22="","",(LOOKUP(N22,CriterioControl,CriteriosControles!$B$2:$B$15)))</f>
        <v/>
      </c>
      <c r="P22" s="95"/>
      <c r="Q22" s="94" t="str">
        <f>+IF(P22="","",(LOOKUP(P22,CriterioControl,CriteriosControles!$B$2:$B$15)))</f>
        <v/>
      </c>
      <c r="R22" s="95"/>
      <c r="S22" s="94" t="str">
        <f>+IF(R22="","",(LOOKUP(R22,CriterioControl,CriteriosControles!$B$2:$B$15)))</f>
        <v/>
      </c>
      <c r="T22" s="95"/>
      <c r="U22" s="94" t="str">
        <f>+IF(T22="","",(LOOKUP(T22,CriterioControl,CriteriosControles!$B$2:$B$15)))</f>
        <v/>
      </c>
      <c r="V22" s="95"/>
      <c r="W22" s="94" t="str">
        <f>+IF(V22="","",(LOOKUP(V22,CriterioControl,CriteriosControles!$B$2:$B$15)))</f>
        <v/>
      </c>
      <c r="X22" s="95"/>
      <c r="Y22" s="94" t="str">
        <f>+IF(X22="","",(LOOKUP(X22,CriterioControl,CriteriosControles!$B$2:$B$15)))</f>
        <v/>
      </c>
      <c r="Z22" s="95"/>
      <c r="AA22" s="94" t="str">
        <f>+IF(Z22="","",(LOOKUP(Z22,CriterioControl,CriteriosControles!$B$2:$B$15)))</f>
        <v/>
      </c>
      <c r="AB22" s="96" t="e">
        <f t="shared" si="1"/>
        <v>#DIV/0!</v>
      </c>
      <c r="AC22" s="96" t="e">
        <f t="shared" si="4"/>
        <v>#DIV/0!</v>
      </c>
      <c r="AD22" s="97" t="e">
        <f t="shared" si="3"/>
        <v>#DIV/0!</v>
      </c>
    </row>
    <row r="23" spans="1:30" x14ac:dyDescent="0.25">
      <c r="A23" s="93">
        <f>Riesgos!C24</f>
        <v>0</v>
      </c>
      <c r="B23" s="95">
        <f>Riesgos!I24</f>
        <v>0</v>
      </c>
      <c r="C23" s="94"/>
      <c r="D23" s="103"/>
      <c r="E23" s="94" t="str">
        <f>+IF(D23="","",(LOOKUP(D23,CriterioControl,CriteriosControles!$B$2:$B$15)))</f>
        <v/>
      </c>
      <c r="F23" s="103"/>
      <c r="G23" s="94" t="str">
        <f>+IF(F23="","",(LOOKUP(F23,CriterioControl,CriteriosControles!$B$2:$B$15)))</f>
        <v/>
      </c>
      <c r="H23" s="103"/>
      <c r="I23" s="94" t="str">
        <f>+IF(H23="","",(LOOKUP(H23,CriterioControl,CriteriosControles!$B$2:$B$15)))</f>
        <v/>
      </c>
      <c r="J23" s="103"/>
      <c r="K23" s="94" t="str">
        <f>+IF(J23="","",(LOOKUP(J23,CriterioControl,CriteriosControles!$B$2:$B$15)))</f>
        <v/>
      </c>
      <c r="L23" s="103"/>
      <c r="M23" s="94" t="str">
        <f>+IF(L23="","",(LOOKUP(L23,CriterioControl,CriteriosControles!$B$2:$B$15)))</f>
        <v/>
      </c>
      <c r="N23" s="95"/>
      <c r="O23" s="94" t="str">
        <f>+IF(N23="","",(LOOKUP(N23,CriterioControl,CriteriosControles!$B$2:$B$15)))</f>
        <v/>
      </c>
      <c r="P23" s="95"/>
      <c r="Q23" s="94" t="str">
        <f>+IF(P23="","",(LOOKUP(P23,CriterioControl,CriteriosControles!$B$2:$B$15)))</f>
        <v/>
      </c>
      <c r="R23" s="95"/>
      <c r="S23" s="94" t="str">
        <f>+IF(R23="","",(LOOKUP(R23,CriterioControl,CriteriosControles!$B$2:$B$15)))</f>
        <v/>
      </c>
      <c r="T23" s="95"/>
      <c r="U23" s="94" t="str">
        <f>+IF(T23="","",(LOOKUP(T23,CriterioControl,CriteriosControles!$B$2:$B$15)))</f>
        <v/>
      </c>
      <c r="V23" s="95"/>
      <c r="W23" s="94" t="str">
        <f>+IF(V23="","",(LOOKUP(V23,CriterioControl,CriteriosControles!$B$2:$B$15)))</f>
        <v/>
      </c>
      <c r="X23" s="95"/>
      <c r="Y23" s="94" t="str">
        <f>+IF(X23="","",(LOOKUP(X23,CriterioControl,CriteriosControles!$B$2:$B$15)))</f>
        <v/>
      </c>
      <c r="Z23" s="95"/>
      <c r="AA23" s="94" t="str">
        <f>+IF(Z23="","",(LOOKUP(Z23,CriterioControl,CriteriosControles!$B$2:$B$15)))</f>
        <v/>
      </c>
      <c r="AB23" s="96" t="e">
        <f t="shared" si="1"/>
        <v>#DIV/0!</v>
      </c>
      <c r="AC23" s="96" t="e">
        <f t="shared" si="4"/>
        <v>#DIV/0!</v>
      </c>
      <c r="AD23" s="97" t="e">
        <f t="shared" si="3"/>
        <v>#DIV/0!</v>
      </c>
    </row>
  </sheetData>
  <sheetProtection selectLockedCells="1"/>
  <mergeCells count="19">
    <mergeCell ref="D2:E2"/>
    <mergeCell ref="A1:A3"/>
    <mergeCell ref="D1:AA1"/>
    <mergeCell ref="B1:B3"/>
    <mergeCell ref="F2:G2"/>
    <mergeCell ref="H2:I2"/>
    <mergeCell ref="J2:K2"/>
    <mergeCell ref="L2:M2"/>
    <mergeCell ref="N2:O2"/>
    <mergeCell ref="P2:Q2"/>
    <mergeCell ref="R2:S2"/>
    <mergeCell ref="T2:U2"/>
    <mergeCell ref="C1:C3"/>
    <mergeCell ref="AC1:AC3"/>
    <mergeCell ref="AD1:AD3"/>
    <mergeCell ref="V2:W2"/>
    <mergeCell ref="X2:Y2"/>
    <mergeCell ref="Z2:AA2"/>
    <mergeCell ref="AB1:AB3"/>
  </mergeCells>
  <conditionalFormatting sqref="E25:I1048576 E24:H24 D1 E4:E23">
    <cfRule type="cellIs" dxfId="22" priority="44" operator="notEqual">
      <formula>""</formula>
    </cfRule>
  </conditionalFormatting>
  <conditionalFormatting sqref="G4:G23">
    <cfRule type="cellIs" dxfId="21" priority="11" operator="notEqual">
      <formula>""</formula>
    </cfRule>
  </conditionalFormatting>
  <conditionalFormatting sqref="I4:I23">
    <cfRule type="cellIs" dxfId="20" priority="10" operator="notEqual">
      <formula>""</formula>
    </cfRule>
  </conditionalFormatting>
  <conditionalFormatting sqref="K4:K23">
    <cfRule type="cellIs" dxfId="19" priority="9" operator="notEqual">
      <formula>""</formula>
    </cfRule>
  </conditionalFormatting>
  <conditionalFormatting sqref="M4:M23">
    <cfRule type="cellIs" dxfId="18" priority="8" operator="notEqual">
      <formula>""</formula>
    </cfRule>
  </conditionalFormatting>
  <conditionalFormatting sqref="O4:O23">
    <cfRule type="cellIs" dxfId="17" priority="7" operator="notEqual">
      <formula>""</formula>
    </cfRule>
  </conditionalFormatting>
  <conditionalFormatting sqref="Q4:Q23">
    <cfRule type="cellIs" dxfId="16" priority="6" operator="notEqual">
      <formula>""</formula>
    </cfRule>
  </conditionalFormatting>
  <conditionalFormatting sqref="S4:S23">
    <cfRule type="cellIs" dxfId="15" priority="5" operator="notEqual">
      <formula>""</formula>
    </cfRule>
  </conditionalFormatting>
  <conditionalFormatting sqref="U4:U23">
    <cfRule type="cellIs" dxfId="14" priority="4" operator="notEqual">
      <formula>""</formula>
    </cfRule>
  </conditionalFormatting>
  <conditionalFormatting sqref="W4:W23">
    <cfRule type="cellIs" dxfId="13" priority="3" operator="notEqual">
      <formula>""</formula>
    </cfRule>
  </conditionalFormatting>
  <conditionalFormatting sqref="Y4:Y23">
    <cfRule type="cellIs" dxfId="12" priority="2" operator="notEqual">
      <formula>""</formula>
    </cfRule>
  </conditionalFormatting>
  <conditionalFormatting sqref="AA4:AA23">
    <cfRule type="cellIs" dxfId="11" priority="1" operator="notEqual">
      <formula>""</formula>
    </cfRule>
  </conditionalFormatting>
  <dataValidations count="1">
    <dataValidation type="list" allowBlank="1" showInputMessage="1" showErrorMessage="1" sqref="D4:D23 F4:F23 H4:H23 J4:J23 L4:L23 N4:N23 P4:P23 R4:R23 T4:T23 V4:V23 X4:X23 Z4:Z23" xr:uid="{00000000-0002-0000-0300-000000000000}">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workbookViewId="0">
      <selection activeCell="B20" sqref="B20"/>
    </sheetView>
  </sheetViews>
  <sheetFormatPr baseColWidth="10" defaultRowHeight="15" x14ac:dyDescent="0.25"/>
  <cols>
    <col min="1" max="1" width="46.5703125" bestFit="1" customWidth="1"/>
  </cols>
  <sheetData>
    <row r="1" spans="1:2" x14ac:dyDescent="0.25">
      <c r="A1" s="156" t="s">
        <v>130</v>
      </c>
      <c r="B1" s="156"/>
    </row>
    <row r="2" spans="1:2" x14ac:dyDescent="0.25">
      <c r="A2" t="s">
        <v>133</v>
      </c>
      <c r="B2" s="92" t="s">
        <v>131</v>
      </c>
    </row>
    <row r="3" spans="1:2" x14ac:dyDescent="0.25">
      <c r="A3" t="s">
        <v>134</v>
      </c>
      <c r="B3" s="92" t="s">
        <v>132</v>
      </c>
    </row>
    <row r="4" spans="1:2" x14ac:dyDescent="0.25">
      <c r="A4" t="s">
        <v>135</v>
      </c>
      <c r="B4" s="92">
        <v>1</v>
      </c>
    </row>
    <row r="5" spans="1:2" x14ac:dyDescent="0.25">
      <c r="A5" t="s">
        <v>136</v>
      </c>
      <c r="B5" s="92">
        <v>1</v>
      </c>
    </row>
    <row r="6" spans="1:2" x14ac:dyDescent="0.25">
      <c r="A6" t="s">
        <v>137</v>
      </c>
      <c r="B6" s="92">
        <v>4</v>
      </c>
    </row>
    <row r="7" spans="1:2" x14ac:dyDescent="0.25">
      <c r="A7" t="s">
        <v>138</v>
      </c>
      <c r="B7" s="92">
        <v>5</v>
      </c>
    </row>
    <row r="8" spans="1:2" x14ac:dyDescent="0.25">
      <c r="A8" t="s">
        <v>139</v>
      </c>
      <c r="B8" s="92">
        <v>1</v>
      </c>
    </row>
    <row r="9" spans="1:2" x14ac:dyDescent="0.25">
      <c r="A9" t="s">
        <v>140</v>
      </c>
      <c r="B9" s="92">
        <v>1</v>
      </c>
    </row>
    <row r="10" spans="1:2" x14ac:dyDescent="0.25">
      <c r="A10" t="s">
        <v>141</v>
      </c>
      <c r="B10" s="92">
        <v>3</v>
      </c>
    </row>
    <row r="11" spans="1:2" x14ac:dyDescent="0.25">
      <c r="A11" t="s">
        <v>142</v>
      </c>
      <c r="B11" s="92">
        <v>4</v>
      </c>
    </row>
    <row r="12" spans="1:2" x14ac:dyDescent="0.25">
      <c r="A12" t="s">
        <v>143</v>
      </c>
      <c r="B12" s="92">
        <v>1</v>
      </c>
    </row>
    <row r="13" spans="1:2" x14ac:dyDescent="0.25">
      <c r="A13" t="s">
        <v>144</v>
      </c>
      <c r="B13" s="92">
        <v>1</v>
      </c>
    </row>
    <row r="14" spans="1:2" x14ac:dyDescent="0.25">
      <c r="A14" t="s">
        <v>145</v>
      </c>
      <c r="B14" s="92">
        <v>2</v>
      </c>
    </row>
    <row r="15" spans="1:2" x14ac:dyDescent="0.25">
      <c r="A15" t="s">
        <v>146</v>
      </c>
      <c r="B15" s="92">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E470-3E1A-492D-BC7B-9BE95EFA1017}">
  <dimension ref="A1:D26"/>
  <sheetViews>
    <sheetView workbookViewId="0">
      <selection activeCell="D27" sqref="D27"/>
    </sheetView>
  </sheetViews>
  <sheetFormatPr baseColWidth="10" defaultRowHeight="15" x14ac:dyDescent="0.25"/>
  <cols>
    <col min="1" max="1" width="46.5703125" bestFit="1" customWidth="1"/>
    <col min="4" max="4" width="108.140625" bestFit="1" customWidth="1"/>
    <col min="5" max="5" width="61.42578125" bestFit="1" customWidth="1"/>
  </cols>
  <sheetData>
    <row r="1" spans="1:4" x14ac:dyDescent="0.25">
      <c r="A1" s="156"/>
      <c r="B1" s="156"/>
    </row>
    <row r="2" spans="1:4" x14ac:dyDescent="0.25">
      <c r="B2" s="92"/>
    </row>
    <row r="3" spans="1:4" ht="15.75" thickBot="1" x14ac:dyDescent="0.3">
      <c r="B3" s="92"/>
    </row>
    <row r="4" spans="1:4" ht="24.95" customHeight="1" thickBot="1" x14ac:dyDescent="0.3">
      <c r="B4" s="111" t="s">
        <v>117</v>
      </c>
      <c r="C4" s="112" t="s">
        <v>211</v>
      </c>
      <c r="D4" s="113" t="s">
        <v>212</v>
      </c>
    </row>
    <row r="5" spans="1:4" ht="24.95" customHeight="1" x14ac:dyDescent="0.25">
      <c r="B5" s="157" t="s">
        <v>213</v>
      </c>
      <c r="C5" s="160">
        <v>1</v>
      </c>
      <c r="D5" s="114" t="s">
        <v>222</v>
      </c>
    </row>
    <row r="6" spans="1:4" ht="24.95" customHeight="1" x14ac:dyDescent="0.25">
      <c r="B6" s="158"/>
      <c r="C6" s="161"/>
      <c r="D6" s="114" t="s">
        <v>223</v>
      </c>
    </row>
    <row r="7" spans="1:4" ht="24.95" customHeight="1" thickBot="1" x14ac:dyDescent="0.3">
      <c r="B7" s="159"/>
      <c r="C7" s="162"/>
      <c r="D7" s="115" t="s">
        <v>224</v>
      </c>
    </row>
    <row r="8" spans="1:4" ht="24.95" customHeight="1" x14ac:dyDescent="0.25">
      <c r="B8" s="157" t="s">
        <v>214</v>
      </c>
      <c r="C8" s="160">
        <v>2</v>
      </c>
      <c r="D8" s="114" t="s">
        <v>225</v>
      </c>
    </row>
    <row r="9" spans="1:4" ht="24.95" customHeight="1" x14ac:dyDescent="0.25">
      <c r="B9" s="158"/>
      <c r="C9" s="161"/>
      <c r="D9" s="114" t="s">
        <v>226</v>
      </c>
    </row>
    <row r="10" spans="1:4" ht="24.95" customHeight="1" thickBot="1" x14ac:dyDescent="0.3">
      <c r="B10" s="159"/>
      <c r="C10" s="162"/>
      <c r="D10" s="115" t="s">
        <v>227</v>
      </c>
    </row>
    <row r="11" spans="1:4" ht="24.95" customHeight="1" x14ac:dyDescent="0.25">
      <c r="B11" s="157" t="s">
        <v>215</v>
      </c>
      <c r="C11" s="160">
        <v>3</v>
      </c>
      <c r="D11" s="114" t="s">
        <v>216</v>
      </c>
    </row>
    <row r="12" spans="1:4" ht="24.95" customHeight="1" x14ac:dyDescent="0.25">
      <c r="B12" s="158"/>
      <c r="C12" s="161"/>
      <c r="D12" s="114" t="s">
        <v>228</v>
      </c>
    </row>
    <row r="13" spans="1:4" ht="24.95" customHeight="1" x14ac:dyDescent="0.25">
      <c r="B13" s="158"/>
      <c r="C13" s="161"/>
      <c r="D13" s="114" t="s">
        <v>229</v>
      </c>
    </row>
    <row r="14" spans="1:4" ht="24.95" customHeight="1" x14ac:dyDescent="0.25">
      <c r="B14" s="158"/>
      <c r="C14" s="161"/>
      <c r="D14" s="114" t="s">
        <v>230</v>
      </c>
    </row>
    <row r="15" spans="1:4" ht="24.95" customHeight="1" x14ac:dyDescent="0.25">
      <c r="B15" s="158"/>
      <c r="C15" s="161"/>
      <c r="D15" s="114" t="s">
        <v>231</v>
      </c>
    </row>
    <row r="16" spans="1:4" ht="24.95" customHeight="1" thickBot="1" x14ac:dyDescent="0.3">
      <c r="B16" s="159"/>
      <c r="C16" s="162"/>
      <c r="D16" s="115" t="s">
        <v>217</v>
      </c>
    </row>
    <row r="17" spans="2:4" ht="24.95" customHeight="1" x14ac:dyDescent="0.25">
      <c r="B17" s="157" t="s">
        <v>218</v>
      </c>
      <c r="C17" s="160">
        <v>4</v>
      </c>
      <c r="D17" s="114" t="s">
        <v>219</v>
      </c>
    </row>
    <row r="18" spans="2:4" ht="24.95" customHeight="1" x14ac:dyDescent="0.25">
      <c r="B18" s="158"/>
      <c r="C18" s="161"/>
      <c r="D18" s="114" t="s">
        <v>232</v>
      </c>
    </row>
    <row r="19" spans="2:4" ht="24.95" customHeight="1" x14ac:dyDescent="0.25">
      <c r="B19" s="158"/>
      <c r="C19" s="161"/>
      <c r="D19" s="114" t="s">
        <v>233</v>
      </c>
    </row>
    <row r="20" spans="2:4" ht="24.95" customHeight="1" x14ac:dyDescent="0.25">
      <c r="B20" s="158"/>
      <c r="C20" s="161"/>
      <c r="D20" s="114" t="s">
        <v>234</v>
      </c>
    </row>
    <row r="21" spans="2:4" ht="24.95" customHeight="1" thickBot="1" x14ac:dyDescent="0.3">
      <c r="B21" s="159"/>
      <c r="C21" s="162"/>
      <c r="D21" s="115" t="s">
        <v>235</v>
      </c>
    </row>
    <row r="22" spans="2:4" ht="24.95" customHeight="1" x14ac:dyDescent="0.25">
      <c r="B22" s="157" t="s">
        <v>220</v>
      </c>
      <c r="C22" s="160">
        <v>5</v>
      </c>
      <c r="D22" s="114" t="s">
        <v>221</v>
      </c>
    </row>
    <row r="23" spans="2:4" ht="24.95" customHeight="1" x14ac:dyDescent="0.25">
      <c r="B23" s="158"/>
      <c r="C23" s="161"/>
      <c r="D23" s="114" t="s">
        <v>236</v>
      </c>
    </row>
    <row r="24" spans="2:4" ht="24.95" customHeight="1" x14ac:dyDescent="0.25">
      <c r="B24" s="158"/>
      <c r="C24" s="161"/>
      <c r="D24" s="114" t="s">
        <v>237</v>
      </c>
    </row>
    <row r="25" spans="2:4" ht="24.95" customHeight="1" x14ac:dyDescent="0.25">
      <c r="B25" s="158"/>
      <c r="C25" s="161"/>
      <c r="D25" s="114" t="s">
        <v>238</v>
      </c>
    </row>
    <row r="26" spans="2:4" ht="24.95" customHeight="1" thickBot="1" x14ac:dyDescent="0.3">
      <c r="B26" s="159"/>
      <c r="C26" s="162"/>
      <c r="D26" s="115" t="s">
        <v>239</v>
      </c>
    </row>
  </sheetData>
  <mergeCells count="11">
    <mergeCell ref="B17:B21"/>
    <mergeCell ref="C17:C21"/>
    <mergeCell ref="B22:B26"/>
    <mergeCell ref="C22:C26"/>
    <mergeCell ref="A1:B1"/>
    <mergeCell ref="B5:B7"/>
    <mergeCell ref="C5:C7"/>
    <mergeCell ref="B8:B10"/>
    <mergeCell ref="C8:C10"/>
    <mergeCell ref="B11:B16"/>
    <mergeCell ref="C11:C16"/>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A8" zoomScaleNormal="100" zoomScalePageLayoutView="125" workbookViewId="0">
      <selection activeCell="I27" sqref="I27"/>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113</v>
      </c>
      <c r="M1" s="47" t="s">
        <v>118</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104" t="s">
        <v>161</v>
      </c>
      <c r="J2" s="46"/>
      <c r="K2" s="49" t="s">
        <v>98</v>
      </c>
      <c r="L2" s="49" t="s">
        <v>103</v>
      </c>
      <c r="M2" s="49" t="s">
        <v>108</v>
      </c>
      <c r="N2" s="49" t="s">
        <v>44</v>
      </c>
      <c r="O2" s="49" t="s">
        <v>4</v>
      </c>
      <c r="P2" s="49" t="s">
        <v>44</v>
      </c>
      <c r="Q2" s="49" t="s">
        <v>2</v>
      </c>
      <c r="R2" s="49" t="s">
        <v>119</v>
      </c>
      <c r="S2" s="50">
        <v>1</v>
      </c>
      <c r="T2" s="49" t="s">
        <v>49</v>
      </c>
      <c r="U2" s="46"/>
      <c r="V2" s="46"/>
    </row>
    <row r="3" spans="1:22" ht="15.75" thickBot="1" x14ac:dyDescent="0.3">
      <c r="C3" s="17" t="s">
        <v>57</v>
      </c>
      <c r="E3" s="49" t="s">
        <v>10</v>
      </c>
      <c r="F3" s="49" t="s">
        <v>29</v>
      </c>
      <c r="G3" s="49" t="s">
        <v>33</v>
      </c>
      <c r="H3" s="49" t="s">
        <v>19</v>
      </c>
      <c r="I3" s="104" t="s">
        <v>162</v>
      </c>
      <c r="J3" s="46"/>
      <c r="K3" s="49" t="s">
        <v>99</v>
      </c>
      <c r="L3" s="49" t="s">
        <v>104</v>
      </c>
      <c r="M3" s="49" t="s">
        <v>109</v>
      </c>
      <c r="N3" s="49" t="s">
        <v>83</v>
      </c>
      <c r="O3" s="49" t="s">
        <v>6</v>
      </c>
      <c r="P3" s="49" t="s">
        <v>78</v>
      </c>
      <c r="Q3" s="49" t="s">
        <v>5</v>
      </c>
      <c r="R3" s="49" t="s">
        <v>120</v>
      </c>
      <c r="S3" s="50">
        <v>2</v>
      </c>
      <c r="T3" s="49" t="s">
        <v>50</v>
      </c>
      <c r="U3" s="46"/>
      <c r="V3" s="46"/>
    </row>
    <row r="4" spans="1:22" ht="19.5" thickBot="1" x14ac:dyDescent="0.3">
      <c r="C4" s="8">
        <v>5</v>
      </c>
      <c r="E4" s="49"/>
      <c r="F4" s="49" t="s">
        <v>30</v>
      </c>
      <c r="G4" s="49" t="s">
        <v>41</v>
      </c>
      <c r="H4" s="49" t="s">
        <v>1</v>
      </c>
      <c r="I4" s="105" t="s">
        <v>163</v>
      </c>
      <c r="J4" s="46"/>
      <c r="K4" s="49" t="s">
        <v>100</v>
      </c>
      <c r="L4" s="49" t="s">
        <v>105</v>
      </c>
      <c r="M4" s="49" t="s">
        <v>110</v>
      </c>
      <c r="N4" s="49" t="s">
        <v>82</v>
      </c>
      <c r="O4" s="49" t="s">
        <v>3</v>
      </c>
      <c r="P4" s="49" t="s">
        <v>77</v>
      </c>
      <c r="Q4" s="49" t="s">
        <v>3</v>
      </c>
      <c r="R4" s="49" t="s">
        <v>121</v>
      </c>
      <c r="S4" s="50">
        <v>3</v>
      </c>
      <c r="T4" s="49" t="s">
        <v>51</v>
      </c>
      <c r="U4" s="46"/>
      <c r="V4" s="46"/>
    </row>
    <row r="5" spans="1:22" ht="15.75" thickBot="1" x14ac:dyDescent="0.3">
      <c r="E5" s="49"/>
      <c r="F5" s="49" t="s">
        <v>31</v>
      </c>
      <c r="G5" s="49" t="s">
        <v>32</v>
      </c>
      <c r="H5" s="49" t="s">
        <v>22</v>
      </c>
      <c r="I5" s="106" t="s">
        <v>164</v>
      </c>
      <c r="J5" s="46"/>
      <c r="K5" s="49" t="s">
        <v>101</v>
      </c>
      <c r="L5" s="49" t="s">
        <v>106</v>
      </c>
      <c r="M5" s="49" t="s">
        <v>111</v>
      </c>
      <c r="N5" s="49" t="s">
        <v>81</v>
      </c>
      <c r="O5" s="49" t="s">
        <v>5</v>
      </c>
      <c r="P5" s="49" t="s">
        <v>76</v>
      </c>
      <c r="Q5" s="49" t="s">
        <v>6</v>
      </c>
      <c r="R5" s="49" t="s">
        <v>122</v>
      </c>
      <c r="S5" s="50">
        <v>4</v>
      </c>
      <c r="T5" s="49" t="s">
        <v>52</v>
      </c>
      <c r="U5" s="46"/>
      <c r="V5" s="46"/>
    </row>
    <row r="6" spans="1:22" ht="15.75" thickBot="1" x14ac:dyDescent="0.3">
      <c r="E6" s="49"/>
      <c r="F6" s="49"/>
      <c r="G6" s="49" t="s">
        <v>34</v>
      </c>
      <c r="H6" s="49"/>
      <c r="I6" s="106" t="s">
        <v>165</v>
      </c>
      <c r="J6" s="46"/>
      <c r="K6" s="49" t="s">
        <v>102</v>
      </c>
      <c r="L6" s="49" t="s">
        <v>107</v>
      </c>
      <c r="M6" s="49" t="s">
        <v>112</v>
      </c>
      <c r="N6" s="49" t="s">
        <v>84</v>
      </c>
      <c r="O6" s="49" t="s">
        <v>2</v>
      </c>
      <c r="P6" s="49" t="s">
        <v>75</v>
      </c>
      <c r="Q6" s="49" t="s">
        <v>46</v>
      </c>
      <c r="R6" s="49" t="s">
        <v>123</v>
      </c>
      <c r="S6" s="50">
        <v>5</v>
      </c>
      <c r="T6" s="49" t="s">
        <v>53</v>
      </c>
      <c r="U6" s="46"/>
      <c r="V6" s="46"/>
    </row>
    <row r="7" spans="1:22" ht="15.75" thickBot="1" x14ac:dyDescent="0.3">
      <c r="E7" s="49"/>
      <c r="F7" s="49"/>
      <c r="G7" s="49" t="s">
        <v>42</v>
      </c>
      <c r="H7" s="49"/>
      <c r="I7" s="106" t="s">
        <v>166</v>
      </c>
      <c r="J7" s="46"/>
      <c r="K7" s="46"/>
      <c r="L7" s="51"/>
      <c r="M7" s="46"/>
      <c r="N7" s="46"/>
      <c r="O7" s="46"/>
      <c r="P7" s="46"/>
      <c r="Q7" s="46"/>
      <c r="R7" s="46"/>
      <c r="S7" s="46"/>
      <c r="T7" s="46"/>
      <c r="U7" s="46"/>
      <c r="V7" s="46"/>
    </row>
    <row r="8" spans="1:22" ht="15.75" thickBot="1" x14ac:dyDescent="0.3">
      <c r="E8" s="49"/>
      <c r="F8" s="49"/>
      <c r="G8" s="49" t="s">
        <v>37</v>
      </c>
      <c r="H8" s="49"/>
      <c r="I8" s="106" t="s">
        <v>167</v>
      </c>
      <c r="J8" s="46"/>
      <c r="K8" s="46"/>
      <c r="L8" s="51"/>
      <c r="M8" s="46"/>
      <c r="N8" s="46"/>
      <c r="O8" s="46"/>
      <c r="P8" s="46"/>
      <c r="Q8" s="46"/>
      <c r="R8" s="46"/>
      <c r="S8" s="46"/>
      <c r="T8" s="46"/>
      <c r="U8" s="46"/>
      <c r="V8" s="46"/>
    </row>
    <row r="9" spans="1:22" ht="15.75" thickBot="1" x14ac:dyDescent="0.3">
      <c r="A9" s="1" t="s">
        <v>66</v>
      </c>
      <c r="E9" s="49"/>
      <c r="F9" s="49"/>
      <c r="G9" s="49" t="s">
        <v>38</v>
      </c>
      <c r="H9" s="49"/>
      <c r="I9" s="106" t="s">
        <v>168</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106" t="s">
        <v>169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106" t="s">
        <v>170</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106" t="s">
        <v>171</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106" t="s">
        <v>172</v>
      </c>
      <c r="J13" s="51"/>
      <c r="K13" s="51"/>
      <c r="L13" s="51"/>
      <c r="M13" s="51"/>
      <c r="N13" s="74"/>
      <c r="O13" s="74"/>
      <c r="P13" s="74"/>
      <c r="Q13" s="74"/>
      <c r="R13" s="74"/>
      <c r="S13" s="46"/>
      <c r="T13" s="46"/>
      <c r="U13" s="46"/>
      <c r="V13" s="46"/>
    </row>
    <row r="14" spans="1:22" ht="15.75" thickBot="1" x14ac:dyDescent="0.3">
      <c r="A14" s="18" t="str">
        <f>T3</f>
        <v>Oportunidad abandonada</v>
      </c>
      <c r="C14" s="19" t="e">
        <f>COUNTIF(#REF!,Listas!A14)</f>
        <v>#REF!</v>
      </c>
      <c r="E14" s="52"/>
      <c r="F14" s="52"/>
      <c r="G14" s="52"/>
      <c r="H14" s="52"/>
      <c r="I14" s="106" t="s">
        <v>173</v>
      </c>
      <c r="J14" s="52"/>
      <c r="K14" s="52"/>
      <c r="L14" s="52"/>
      <c r="M14" s="52"/>
      <c r="N14" s="75"/>
      <c r="O14" s="75"/>
      <c r="P14" s="75"/>
      <c r="Q14" s="75"/>
      <c r="R14" s="75"/>
      <c r="S14" s="46"/>
      <c r="T14" s="46"/>
      <c r="U14" s="46"/>
      <c r="V14" s="46"/>
    </row>
    <row r="15" spans="1:22" ht="15.75" thickBot="1" x14ac:dyDescent="0.3">
      <c r="A15" s="18" t="str">
        <f>T4</f>
        <v>Se trataron algunas expectativas</v>
      </c>
      <c r="C15" s="19" t="e">
        <f>COUNTIF(#REF!,Listas!A15)</f>
        <v>#REF!</v>
      </c>
      <c r="E15" s="10"/>
      <c r="F15" s="10"/>
      <c r="G15" s="10"/>
      <c r="H15" s="10"/>
      <c r="I15" s="106" t="s">
        <v>174</v>
      </c>
      <c r="J15" s="10"/>
      <c r="K15" s="10"/>
      <c r="L15" s="10"/>
      <c r="M15" s="10"/>
      <c r="N15" s="76"/>
      <c r="O15" s="76"/>
      <c r="P15" s="76"/>
      <c r="Q15" s="76"/>
      <c r="R15" s="76"/>
      <c r="V15" s="12" t="s">
        <v>62</v>
      </c>
    </row>
    <row r="16" spans="1:22" ht="30.75" thickBot="1" x14ac:dyDescent="0.3">
      <c r="A16" s="18" t="str">
        <f>T5</f>
        <v>Se trataron todas las expectativas</v>
      </c>
      <c r="C16" s="19" t="e">
        <f>COUNTIF(#REF!,Listas!A16)</f>
        <v>#REF!</v>
      </c>
      <c r="E16" s="10"/>
      <c r="F16" s="10"/>
      <c r="G16" s="10"/>
      <c r="H16" s="10"/>
      <c r="I16" s="106" t="s">
        <v>175</v>
      </c>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106" t="s">
        <v>176</v>
      </c>
      <c r="J17" s="11"/>
      <c r="K17" s="11"/>
      <c r="L17" s="11"/>
      <c r="M17" s="11"/>
      <c r="N17" s="11"/>
      <c r="O17" s="11"/>
      <c r="P17" s="11"/>
      <c r="Q17" s="11"/>
      <c r="R17" s="11"/>
      <c r="V17" s="12"/>
    </row>
    <row r="18" spans="1:22" ht="15.75" thickBot="1" x14ac:dyDescent="0.3">
      <c r="E18" s="10"/>
      <c r="F18" s="10"/>
      <c r="G18" s="10"/>
      <c r="H18" s="10"/>
      <c r="I18" s="106" t="s">
        <v>177</v>
      </c>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106" t="s">
        <v>178</v>
      </c>
      <c r="J19" s="11"/>
      <c r="K19" s="11"/>
      <c r="L19" s="11"/>
      <c r="M19" s="11"/>
      <c r="N19" s="11"/>
      <c r="O19" s="11"/>
      <c r="P19" s="11"/>
      <c r="Q19" s="11"/>
      <c r="R19" s="11"/>
      <c r="V19" s="12"/>
    </row>
    <row r="20" spans="1:22" ht="15.75" thickBot="1" x14ac:dyDescent="0.3">
      <c r="A20" s="1" t="s">
        <v>67</v>
      </c>
      <c r="E20" s="10"/>
      <c r="F20" s="10"/>
      <c r="G20" s="10"/>
      <c r="H20" s="10"/>
      <c r="I20" s="106" t="s">
        <v>179</v>
      </c>
      <c r="J20" s="11"/>
      <c r="K20" s="11"/>
      <c r="L20" s="11"/>
      <c r="M20" s="11"/>
      <c r="N20" s="11"/>
      <c r="O20" s="11"/>
      <c r="P20" s="11"/>
      <c r="Q20" s="11"/>
      <c r="R20" s="11"/>
      <c r="V20" s="12"/>
    </row>
    <row r="21" spans="1:22" ht="30.75" thickBot="1" x14ac:dyDescent="0.3">
      <c r="A21" s="18" t="s">
        <v>71</v>
      </c>
      <c r="C21" s="19">
        <f>COUNTA(Riesgos!C5:C111)</f>
        <v>18</v>
      </c>
      <c r="E21" s="10"/>
      <c r="F21" s="10"/>
      <c r="G21" s="10"/>
      <c r="H21" s="10"/>
      <c r="I21" s="106" t="s">
        <v>180</v>
      </c>
      <c r="J21" s="11"/>
      <c r="K21" s="11"/>
      <c r="L21" s="11"/>
      <c r="M21" s="11"/>
      <c r="N21" s="11"/>
      <c r="O21" s="11"/>
      <c r="P21" s="11"/>
      <c r="Q21" s="11"/>
      <c r="R21" s="11"/>
      <c r="V21" s="13" t="s">
        <v>64</v>
      </c>
    </row>
    <row r="22" spans="1:22" ht="30.75" thickBot="1" x14ac:dyDescent="0.3">
      <c r="A22" s="18" t="s">
        <v>72</v>
      </c>
      <c r="C22" s="19">
        <f>COUNTIF(Riesgos!I5:I111,"&gt;="&amp;Listas!C2)</f>
        <v>13</v>
      </c>
      <c r="I22" s="106" t="s">
        <v>181</v>
      </c>
      <c r="V22" s="13" t="s">
        <v>65</v>
      </c>
    </row>
    <row r="23" spans="1:22" ht="15.75" thickBot="1" x14ac:dyDescent="0.3">
      <c r="A23" s="18" t="s">
        <v>73</v>
      </c>
      <c r="C23" s="19">
        <f>C21-C22-C24</f>
        <v>1</v>
      </c>
      <c r="I23" s="106" t="s">
        <v>182</v>
      </c>
      <c r="V23" s="12"/>
    </row>
    <row r="24" spans="1:22" ht="15.75" thickBot="1" x14ac:dyDescent="0.3">
      <c r="A24" s="18" t="s">
        <v>74</v>
      </c>
      <c r="C24" s="19">
        <f>COUNTIF(Riesgos!I5:I111,"&lt;"&amp;Listas!C4)</f>
        <v>4</v>
      </c>
      <c r="I24" s="106" t="s">
        <v>183</v>
      </c>
      <c r="V24" s="12" t="str">
        <f>CONCATENATE(V21,A2,V22)</f>
        <v>Plan de persecución de oportunidades 
(sugerida para factor de oportunidades &gt;=8) 
Puede referenciar a documentos de planificación externa</v>
      </c>
    </row>
    <row r="25" spans="1:22" ht="15.75" thickBot="1" x14ac:dyDescent="0.3">
      <c r="I25" s="106" t="s">
        <v>184</v>
      </c>
      <c r="V25" s="12"/>
    </row>
    <row r="26" spans="1:22" ht="15.75" thickBot="1" x14ac:dyDescent="0.3">
      <c r="I26" s="106" t="s">
        <v>185</v>
      </c>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Partes</vt:lpstr>
      <vt:lpstr>Cuestiones</vt:lpstr>
      <vt:lpstr>Riesgos</vt:lpstr>
      <vt:lpstr>Calificacion Controles</vt:lpstr>
      <vt:lpstr>CriteriosControles</vt:lpstr>
      <vt:lpstr>CriteriosImpacto</vt:lpstr>
      <vt:lpstr>Listas</vt:lpstr>
      <vt:lpstr>Riesgos!Área_de_impresión</vt:lpstr>
      <vt:lpstr>'Calificacion Controles'!correction</vt:lpstr>
      <vt:lpstr>'Calificacion Controles'!cost</vt:lpstr>
      <vt:lpstr>CriteriosImpacto!CriterioControl</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Riesgos!Títulos_a_imprimir</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Oscar Mendez Gutierrez</cp:lastModifiedBy>
  <cp:lastPrinted>2019-05-06T14:59:02Z</cp:lastPrinted>
  <dcterms:created xsi:type="dcterms:W3CDTF">2015-08-31T12:23:57Z</dcterms:created>
  <dcterms:modified xsi:type="dcterms:W3CDTF">2019-10-22T15:28:13Z</dcterms:modified>
  <cp:category>ISO 9001:2015;Procedimientos</cp:category>
</cp:coreProperties>
</file>